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mc:AlternateContent xmlns:mc="http://schemas.openxmlformats.org/markup-compatibility/2006">
    <mc:Choice Requires="x15">
      <x15ac:absPath xmlns:x15ac="http://schemas.microsoft.com/office/spreadsheetml/2010/11/ac" url="Q:\Directive\Fiscal 2024\CU Directive\Final\"/>
    </mc:Choice>
  </mc:AlternateContent>
  <xr:revisionPtr revIDLastSave="0" documentId="13_ncr:1_{C0673DE6-D1C4-439A-871B-F5A8CF4F1A24}" xr6:coauthVersionLast="47" xr6:coauthVersionMax="47" xr10:uidLastSave="{00000000-0000-0000-0000-000000000000}"/>
  <bookViews>
    <workbookView xWindow="-120" yWindow="-120" windowWidth="29040" windowHeight="15720" tabRatio="905" firstSheet="1" activeTab="1" xr2:uid="{00000000-000D-0000-FFFF-FFFF00000000}"/>
  </bookViews>
  <sheets>
    <sheet name="Prior Year Amounts" sheetId="2" state="hidden" r:id="rId1"/>
    <sheet name="Component Unit Template" sheetId="1" r:id="rId2"/>
    <sheet name="Template Flux" sheetId="3" r:id="rId3"/>
    <sheet name="Tab 1A - Detail" sheetId="4" r:id="rId4"/>
    <sheet name="Tab 1B-Cash Eq. &amp; Inv. Not w Tr" sheetId="7" r:id="rId5"/>
    <sheet name="Tab 1C - Foreign Currency Inv" sheetId="8" r:id="rId6"/>
    <sheet name="Tab 1D - Recordation" sheetId="9" r:id="rId7"/>
    <sheet name="Tab 2 - Receivables" sheetId="10" r:id="rId8"/>
    <sheet name="Tab 3 - Capital Assets" sheetId="11" r:id="rId9"/>
    <sheet name="Tab 4 - LT Liabilities" sheetId="12" r:id="rId10"/>
    <sheet name="Tab 4A - Short-term Debt" sheetId="13" r:id="rId11"/>
    <sheet name="Tab 5 - Commitments" sheetId="14" r:id="rId12"/>
    <sheet name="Tab 6 - Restatements" sheetId="15" r:id="rId13"/>
    <sheet name="Tab 7 - Inventory" sheetId="16" r:id="rId14"/>
    <sheet name="Tab 8 - Miscellaneous" sheetId="17" r:id="rId15"/>
    <sheet name="Tab 9 - Imprmnt. of Cap. Assets" sheetId="18" r:id="rId16"/>
    <sheet name="Tab 10 - Net Inv in Cap Assets" sheetId="19" r:id="rId17"/>
    <sheet name="Certification" sheetId="20" r:id="rId18"/>
    <sheet name="Revision Control Log" sheetId="21" r:id="rId19"/>
  </sheets>
  <externalReferences>
    <externalReference r:id="rId20"/>
    <externalReference r:id="rId21"/>
  </externalReferences>
  <definedNames>
    <definedName name="_xlnm._FilterDatabase" localSheetId="1" hidden="1">'Component Unit Template'!$AA$10:$AB$11</definedName>
    <definedName name="art_bs" localSheetId="4">#REF!</definedName>
    <definedName name="art_bs">#REF!</definedName>
    <definedName name="art_cf" localSheetId="4">#REF!</definedName>
    <definedName name="art_cf">#REF!</definedName>
    <definedName name="art_is" localSheetId="4">#REF!</definedName>
    <definedName name="art_is">#REF!</definedName>
    <definedName name="Balance_Sheet" localSheetId="4">#REF!</definedName>
    <definedName name="Balance_Sheet">#REF!</definedName>
    <definedName name="BS_Title" localSheetId="4">#REF!</definedName>
    <definedName name="BS_Title">#REF!</definedName>
    <definedName name="Cash_Flows" localSheetId="4">#REF!</definedName>
    <definedName name="Cash_Flows">#REF!</definedName>
    <definedName name="Fitch" localSheetId="4">#REF!</definedName>
    <definedName name="Fitch">#REF!</definedName>
    <definedName name="Income_Statement" localSheetId="4">#REF!</definedName>
    <definedName name="Income_Statement">#REF!</definedName>
    <definedName name="IS" localSheetId="4">#REF!</definedName>
    <definedName name="IS">#REF!</definedName>
    <definedName name="IS_Title" localSheetId="4">#REF!</definedName>
    <definedName name="IS_Title">#REF!</definedName>
    <definedName name="Leg_BS" localSheetId="4">#REF!</definedName>
    <definedName name="Leg_BS">#REF!</definedName>
    <definedName name="LEG_CF" localSheetId="4">#REF!</definedName>
    <definedName name="LEG_CF">#REF!</definedName>
    <definedName name="Leg_IS" localSheetId="4">#REF!</definedName>
    <definedName name="Leg_IS">#REF!</definedName>
    <definedName name="LOC_BS" localSheetId="4">'[1]Local Choice'!#REF!</definedName>
    <definedName name="LOC_BS">'[1]Local Choice'!#REF!</definedName>
    <definedName name="Moodys" localSheetId="4">#REF!</definedName>
    <definedName name="Moodys">#REF!</definedName>
    <definedName name="NA" localSheetId="4">#REF!</definedName>
    <definedName name="NA">#REF!</definedName>
    <definedName name="_xlnm.Print_Area" localSheetId="17">Certification!$A$1:$O$54</definedName>
    <definedName name="_xlnm.Print_Area" localSheetId="1">'Component Unit Template'!$A$1:$P$275</definedName>
    <definedName name="_xlnm.Print_Area" localSheetId="0">'Prior Year Amounts'!$A$119:$BB$203</definedName>
    <definedName name="_xlnm.Print_Area" localSheetId="18">'Revision Control Log'!$A$1:$F$61</definedName>
    <definedName name="_xlnm.Print_Area" localSheetId="16">'Tab 10 - Net Inv in Cap Assets'!$A$1:$E$61</definedName>
    <definedName name="_xlnm.Print_Area" localSheetId="3">'Tab 1A - Detail'!$A$1:$J$367</definedName>
    <definedName name="_xlnm.Print_Area" localSheetId="4">'Tab 1B-Cash Eq. &amp; Inv. Not w Tr'!$A$1:$AI$147</definedName>
    <definedName name="_xlnm.Print_Area" localSheetId="5">'Tab 1C - Foreign Currency Inv'!$A$1:$BV$63</definedName>
    <definedName name="_xlnm.Print_Area" localSheetId="6">'Tab 1D - Recordation'!$A$1:$G$58</definedName>
    <definedName name="_xlnm.Print_Area" localSheetId="7">'Tab 2 - Receivables'!$A$1:$I$163</definedName>
    <definedName name="_xlnm.Print_Area" localSheetId="8">'Tab 3 - Capital Assets'!$A$1:$O$280</definedName>
    <definedName name="_xlnm.Print_Area" localSheetId="9">'Tab 4 - LT Liabilities'!$A$1:$L$333</definedName>
    <definedName name="_xlnm.Print_Area" localSheetId="11">'Tab 5 - Commitments'!$A$1:$H$30</definedName>
    <definedName name="_xlnm.Print_Area" localSheetId="12">'Tab 6 - Restatements'!$A$1:$G$59</definedName>
    <definedName name="_xlnm.Print_Area" localSheetId="13">'Tab 7 - Inventory'!$A$1:$F$34</definedName>
    <definedName name="_xlnm.Print_Area" localSheetId="14">'Tab 8 - Miscellaneous'!$A$1:$C$516</definedName>
    <definedName name="_xlnm.Print_Area" localSheetId="15">'Tab 9 - Imprmnt. of Cap. Assets'!$A$1:$N$81</definedName>
    <definedName name="_xlnm.Print_Area" localSheetId="2">'Template Flux'!$A$1:$E$143</definedName>
    <definedName name="_xlnm.Print_Titles" localSheetId="0">'Prior Year Amounts'!$A:$J</definedName>
    <definedName name="_xlnm.Print_Titles" localSheetId="18">'Revision Control Log'!$9:$9</definedName>
    <definedName name="_xlnm.Print_Titles" localSheetId="4">'Tab 1B-Cash Eq. &amp; Inv. Not w Tr'!$A:$E,'Tab 1B-Cash Eq. &amp; Inv. Not w Tr'!$1:$11</definedName>
    <definedName name="_xlnm.Print_Titles" localSheetId="5">'Tab 1C - Foreign Currency Inv'!$1:$10</definedName>
    <definedName name="_xlnm.Print_Titles" localSheetId="2">'Template Flux'!$1:$13</definedName>
    <definedName name="Rating_Agency" localSheetId="4">#REF!</definedName>
    <definedName name="Rating_Agency">#REF!</definedName>
    <definedName name="Science_Bs" localSheetId="4">#REF!</definedName>
    <definedName name="Science_Bs">#REF!</definedName>
    <definedName name="Science_cf" localSheetId="4">#REF!</definedName>
    <definedName name="Science_cf">#REF!</definedName>
    <definedName name="Science_IS" localSheetId="4">#REF!</definedName>
    <definedName name="Science_IS">#REF!</definedName>
    <definedName name="Standard_Poors" localSheetId="4">#REF!</definedName>
    <definedName name="Standard_Poors">#REF!</definedName>
    <definedName name="wrn.Footnote._.8." localSheetId="4" hidden="1">{#N/A,#N/A,FALSE,"Fixed Assets";#N/A,#N/A,FALSE,"PPE Wksheet"}</definedName>
    <definedName name="wrn.Footnote._.8." hidden="1">{#N/A,#N/A,FALSE,"Fixed Assets";#N/A,#N/A,FALSE,"PPE Wksheet"}</definedName>
    <definedName name="Z_10B70302_090E_4CFD_BAE6_CC560B897D26_.wvu.Cols" localSheetId="17" hidden="1">Certification!$R:$R</definedName>
    <definedName name="Z_10B70302_090E_4CFD_BAE6_CC560B897D26_.wvu.Cols" localSheetId="1" hidden="1">'Component Unit Template'!$P:$P,'Component Unit Template'!$Y:$AD</definedName>
    <definedName name="Z_10B70302_090E_4CFD_BAE6_CC560B897D26_.wvu.Cols" localSheetId="16" hidden="1">'Tab 10 - Net Inv in Cap Assets'!$G:$I</definedName>
    <definedName name="Z_10B70302_090E_4CFD_BAE6_CC560B897D26_.wvu.Cols" localSheetId="5" hidden="1">'Tab 1C - Foreign Currency Inv'!$AD:$AF</definedName>
    <definedName name="Z_10B70302_090E_4CFD_BAE6_CC560B897D26_.wvu.Cols" localSheetId="11" hidden="1">'Tab 5 - Commitments'!$F:$F</definedName>
    <definedName name="Z_10B70302_090E_4CFD_BAE6_CC560B897D26_.wvu.Cols" localSheetId="14" hidden="1">'Tab 8 - Miscellaneous'!$D:$D,'Tab 8 - Miscellaneous'!$F:$F</definedName>
    <definedName name="Z_10B70302_090E_4CFD_BAE6_CC560B897D26_.wvu.PrintArea" localSheetId="17" hidden="1">Certification!$A$1:$O$54</definedName>
    <definedName name="Z_10B70302_090E_4CFD_BAE6_CC560B897D26_.wvu.PrintArea" localSheetId="1" hidden="1">'Component Unit Template'!$A$1:$P$275</definedName>
    <definedName name="Z_10B70302_090E_4CFD_BAE6_CC560B897D26_.wvu.PrintArea" localSheetId="0" hidden="1">'Prior Year Amounts'!$A$119:$BB$203</definedName>
    <definedName name="Z_10B70302_090E_4CFD_BAE6_CC560B897D26_.wvu.PrintArea" localSheetId="18" hidden="1">'Revision Control Log'!$A$1:$F$61</definedName>
    <definedName name="Z_10B70302_090E_4CFD_BAE6_CC560B897D26_.wvu.PrintArea" localSheetId="16" hidden="1">'Tab 10 - Net Inv in Cap Assets'!$A$1:$E$61</definedName>
    <definedName name="Z_10B70302_090E_4CFD_BAE6_CC560B897D26_.wvu.PrintArea" localSheetId="3" hidden="1">'Tab 1A - Detail'!$A$1:$J$367</definedName>
    <definedName name="Z_10B70302_090E_4CFD_BAE6_CC560B897D26_.wvu.PrintArea" localSheetId="4" hidden="1">'Tab 1B-Cash Eq. &amp; Inv. Not w Tr'!$A$1:$AI$147</definedName>
    <definedName name="Z_10B70302_090E_4CFD_BAE6_CC560B897D26_.wvu.PrintArea" localSheetId="6" hidden="1">'Tab 1D - Recordation'!$A$1:$G$59</definedName>
    <definedName name="Z_10B70302_090E_4CFD_BAE6_CC560B897D26_.wvu.PrintArea" localSheetId="7" hidden="1">'Tab 2 - Receivables'!$A$1:$I$163</definedName>
    <definedName name="Z_10B70302_090E_4CFD_BAE6_CC560B897D26_.wvu.PrintArea" localSheetId="8" hidden="1">'Tab 3 - Capital Assets'!$A$1:$O$286</definedName>
    <definedName name="Z_10B70302_090E_4CFD_BAE6_CC560B897D26_.wvu.PrintArea" localSheetId="9" hidden="1">'Tab 4 - LT Liabilities'!$A$1:$L$339</definedName>
    <definedName name="Z_10B70302_090E_4CFD_BAE6_CC560B897D26_.wvu.PrintArea" localSheetId="11" hidden="1">'Tab 5 - Commitments'!$A$1:$F$17</definedName>
    <definedName name="Z_10B70302_090E_4CFD_BAE6_CC560B897D26_.wvu.PrintArea" localSheetId="12" hidden="1">'Tab 6 - Restatements'!$A$1:$H$38</definedName>
    <definedName name="Z_10B70302_090E_4CFD_BAE6_CC560B897D26_.wvu.PrintArea" localSheetId="13" hidden="1">'Tab 7 - Inventory'!$A$1:$F$34</definedName>
    <definedName name="Z_10B70302_090E_4CFD_BAE6_CC560B897D26_.wvu.PrintArea" localSheetId="14" hidden="1">'Tab 8 - Miscellaneous'!$A$1:$C$492</definedName>
    <definedName name="Z_10B70302_090E_4CFD_BAE6_CC560B897D26_.wvu.PrintArea" localSheetId="15" hidden="1">'Tab 9 - Imprmnt. of Cap. Assets'!$A$1:$N$81</definedName>
    <definedName name="Z_10B70302_090E_4CFD_BAE6_CC560B897D26_.wvu.PrintTitles" localSheetId="0" hidden="1">'Prior Year Amounts'!$A:$J</definedName>
    <definedName name="Z_10B70302_090E_4CFD_BAE6_CC560B897D26_.wvu.PrintTitles" localSheetId="18" hidden="1">'Revision Control Log'!$9:$9</definedName>
    <definedName name="Z_10B70302_090E_4CFD_BAE6_CC560B897D26_.wvu.PrintTitles" localSheetId="4" hidden="1">'Tab 1B-Cash Eq. &amp; Inv. Not w Tr'!$A:$E,'Tab 1B-Cash Eq. &amp; Inv. Not w Tr'!$1:$11</definedName>
    <definedName name="Z_10B70302_090E_4CFD_BAE6_CC560B897D26_.wvu.PrintTitles" localSheetId="5" hidden="1">'Tab 1C - Foreign Currency Inv'!$1:$10</definedName>
    <definedName name="Z_10B70302_090E_4CFD_BAE6_CC560B897D26_.wvu.PrintTitles" localSheetId="2" hidden="1">'Template Flux'!$1:$13</definedName>
    <definedName name="Z_10B70302_090E_4CFD_BAE6_CC560B897D26_.wvu.Rows" localSheetId="17" hidden="1">Certification!$27:$27</definedName>
    <definedName name="Z_10B70302_090E_4CFD_BAE6_CC560B897D26_.wvu.Rows" localSheetId="1" hidden="1">'Component Unit Template'!$8:$8,'Component Unit Template'!$28:$31,'Component Unit Template'!$44:$45,'Component Unit Template'!$50:$51,'Component Unit Template'!$53:$53,'Component Unit Template'!$66:$67,'Component Unit Template'!$76:$76,'Component Unit Template'!$79:$79,'Component Unit Template'!$83:$88,'Component Unit Template'!$98:$98,'Component Unit Template'!$100:$100,'Component Unit Template'!$105:$105,'Component Unit Template'!$108:$108,'Component Unit Template'!$146:$146,'Component Unit Template'!$157:$157,'Component Unit Template'!#REF!,'Component Unit Template'!$239:$239,'Component Unit Template'!$250:$250,'Component Unit Template'!$253:$254,'Component Unit Template'!$256:$256,'Component Unit Template'!$271:$274</definedName>
    <definedName name="Z_10B70302_090E_4CFD_BAE6_CC560B897D26_.wvu.Rows" localSheetId="0" hidden="1">'Prior Year Amounts'!$2:$7,'Prior Year Amounts'!$12:$31,'Prior Year Amounts'!$44:$44,'Prior Year Amounts'!$70:$70,'Prior Year Amounts'!$73:$73,'Prior Year Amounts'!$77:$82,'Prior Year Amounts'!$92:$92,'Prior Year Amounts'!$99:$99,'Prior Year Amounts'!$136:$136,'Prior Year Amounts'!$147:$147,'Prior Year Amounts'!$205:$208,'Prior Year Amounts'!$226:$226,'Prior Year Amounts'!$260:$260,'Prior Year Amounts'!$350:$350,'Prior Year Amounts'!$364:$364</definedName>
    <definedName name="Z_10B70302_090E_4CFD_BAE6_CC560B897D26_.wvu.Rows" localSheetId="18" hidden="1">'Revision Control Log'!$63:$79</definedName>
    <definedName name="Z_10B70302_090E_4CFD_BAE6_CC560B897D26_.wvu.Rows" localSheetId="3" hidden="1">'Tab 1A - Detail'!$8:$25,'Tab 1A - Detail'!$339:$340,'Tab 1A - Detail'!$355:$355,'Tab 1A - Detail'!$374:$396</definedName>
    <definedName name="Z_10B70302_090E_4CFD_BAE6_CC560B897D26_.wvu.Rows" localSheetId="6" hidden="1">'Tab 1D - Recordation'!$62:$68,'Tab 1D - Recordation'!$70:$80,'Tab 1D - Recordation'!$89:$91</definedName>
    <definedName name="Z_10B70302_090E_4CFD_BAE6_CC560B897D26_.wvu.Rows" localSheetId="7" hidden="1">'Tab 2 - Receivables'!$9:$10,'Tab 2 - Receivables'!$16:$17,'Tab 2 - Receivables'!$35:$48,'Tab 2 - Receivables'!$73:$86,'Tab 2 - Receivables'!$169:$322</definedName>
    <definedName name="Z_10B70302_090E_4CFD_BAE6_CC560B897D26_.wvu.Rows" localSheetId="8" hidden="1">'Tab 3 - Capital Assets'!$8:$8,'Tab 3 - Capital Assets'!$19:$19,'Tab 3 - Capital Assets'!$89:$89,'Tab 3 - Capital Assets'!$226:$247,'Tab 3 - Capital Assets'!$259:$284</definedName>
    <definedName name="Z_10B70302_090E_4CFD_BAE6_CC560B897D26_.wvu.Rows" localSheetId="9" hidden="1">'Tab 4 - LT Liabilities'!$63:$63,'Tab 4 - LT Liabilities'!$69:$69,'Tab 4 - LT Liabilities'!$92:$93,'Tab 4 - LT Liabilities'!$373:$378</definedName>
    <definedName name="Z_10B70302_090E_4CFD_BAE6_CC560B897D26_.wvu.Rows" localSheetId="10" hidden="1">'Tab 4A - Short-term Debt'!$43:$44</definedName>
    <definedName name="Z_10B70302_090E_4CFD_BAE6_CC560B897D26_.wvu.Rows" localSheetId="11" hidden="1">'Tab 5 - Commitments'!#REF!,'Tab 5 - Commitments'!#REF!,'Tab 5 - Commitments'!$23:$25</definedName>
    <definedName name="Z_10B70302_090E_4CFD_BAE6_CC560B897D26_.wvu.Rows" localSheetId="12" hidden="1">'Tab 6 - Restatements'!$8:$8</definedName>
    <definedName name="Z_10B70302_090E_4CFD_BAE6_CC560B897D26_.wvu.Rows" localSheetId="13" hidden="1">'Tab 7 - Inventory'!$8:$9,'Tab 7 - Inventory'!$30:$34</definedName>
    <definedName name="Z_10B70302_090E_4CFD_BAE6_CC560B897D26_.wvu.Rows" localSheetId="14" hidden="1">'Tab 8 - Miscellaneous'!$7:$7,'Tab 8 - Miscellaneous'!$13:$13,'Tab 8 - Miscellaneous'!$17:$17,'Tab 8 - Miscellaneous'!$20:$20,'Tab 8 - Miscellaneous'!$25:$25,'Tab 8 - Miscellaneous'!$32:$32,'Tab 8 - Miscellaneous'!$40:$40,'Tab 8 - Miscellaneous'!$47:$47,'Tab 8 - Miscellaneous'!$64:$64,'Tab 8 - Miscellaneous'!$76:$76,'Tab 8 - Miscellaneous'!$90:$115,'Tab 8 - Miscellaneous'!$120:$139,'Tab 8 - Miscellaneous'!$150:$172,'Tab 8 - Miscellaneous'!$174:$186,'Tab 8 - Miscellaneous'!$189:$197,'Tab 8 - Miscellaneous'!$200:$256,'Tab 8 - Miscellaneous'!$262:$267,'Tab 8 - Miscellaneous'!$269:$276,'Tab 8 - Miscellaneous'!$279:$303,'Tab 8 - Miscellaneous'!$305:$305,'Tab 8 - Miscellaneous'!$328:$336,'Tab 8 - Miscellaneous'!$354:$354,'Tab 8 - Miscellaneous'!$362:$368,'Tab 8 - Miscellaneous'!$372:$373,'Tab 8 - Miscellaneous'!$375:$408,'Tab 8 - Miscellaneous'!$411:$411,'Tab 8 - Miscellaneous'!$418:$418,'Tab 8 - Miscellaneous'!$444:$445,'Tab 8 - Miscellaneous'!$451:$454</definedName>
    <definedName name="Z_10B70302_090E_4CFD_BAE6_CC560B897D26_.wvu.Rows" localSheetId="15" hidden="1">'Tab 9 - Imprmnt. of Cap. Assets'!$82:$104</definedName>
    <definedName name="Z_10B70302_090E_4CFD_BAE6_CC560B897D26_.wvu.Rows" localSheetId="2" hidden="1">'Template Flux'!$19:$20,'Template Flux'!$23:$23,'Template Flux'!$25:$25,'Template Flux'!$49:$49,'Template Flux'!$138:$138,'Template Flux'!$141:$142,'Template Flux'!$145:$145</definedName>
    <definedName name="Z_9A25463D_BF6D_4A94_84A5_80E7F3451C59_.wvu.Cols" localSheetId="17" hidden="1">Certification!$R:$R</definedName>
    <definedName name="Z_9A25463D_BF6D_4A94_84A5_80E7F3451C59_.wvu.Cols" localSheetId="1" hidden="1">'Component Unit Template'!$P:$P,'Component Unit Template'!$AA:$AB</definedName>
    <definedName name="Z_9A25463D_BF6D_4A94_84A5_80E7F3451C59_.wvu.Cols" localSheetId="16" hidden="1">'Tab 10 - Net Inv in Cap Assets'!$H:$H</definedName>
    <definedName name="Z_9A25463D_BF6D_4A94_84A5_80E7F3451C59_.wvu.Cols" localSheetId="5" hidden="1">'Tab 1C - Foreign Currency Inv'!$AD:$AF</definedName>
    <definedName name="Z_9A25463D_BF6D_4A94_84A5_80E7F3451C59_.wvu.Cols" localSheetId="11" hidden="1">'Tab 5 - Commitments'!$F:$F</definedName>
    <definedName name="Z_9A25463D_BF6D_4A94_84A5_80E7F3451C59_.wvu.Cols" localSheetId="14" hidden="1">'Tab 8 - Miscellaneous'!$D:$D,'Tab 8 - Miscellaneous'!$F:$F</definedName>
    <definedName name="Z_9A25463D_BF6D_4A94_84A5_80E7F3451C59_.wvu.PrintArea" localSheetId="17" hidden="1">Certification!$A$1:$O$54</definedName>
    <definedName name="Z_9A25463D_BF6D_4A94_84A5_80E7F3451C59_.wvu.PrintArea" localSheetId="1" hidden="1">'Component Unit Template'!$A$1:$P$275</definedName>
    <definedName name="Z_9A25463D_BF6D_4A94_84A5_80E7F3451C59_.wvu.PrintArea" localSheetId="0" hidden="1">'Prior Year Amounts'!$A$9:$BB$394</definedName>
    <definedName name="Z_9A25463D_BF6D_4A94_84A5_80E7F3451C59_.wvu.PrintArea" localSheetId="18" hidden="1">'Revision Control Log'!$A$1:$F$61</definedName>
    <definedName name="Z_9A25463D_BF6D_4A94_84A5_80E7F3451C59_.wvu.PrintArea" localSheetId="16" hidden="1">'Tab 10 - Net Inv in Cap Assets'!$A$1:$E$61</definedName>
    <definedName name="Z_9A25463D_BF6D_4A94_84A5_80E7F3451C59_.wvu.PrintArea" localSheetId="3" hidden="1">'Tab 1A - Detail'!$A$1:$J$364</definedName>
    <definedName name="Z_9A25463D_BF6D_4A94_84A5_80E7F3451C59_.wvu.PrintArea" localSheetId="6" hidden="1">'Tab 1D - Recordation'!$A$1:$F$60</definedName>
    <definedName name="Z_9A25463D_BF6D_4A94_84A5_80E7F3451C59_.wvu.PrintArea" localSheetId="7" hidden="1">'Tab 2 - Receivables'!$A$1:$I$163</definedName>
    <definedName name="Z_9A25463D_BF6D_4A94_84A5_80E7F3451C59_.wvu.PrintArea" localSheetId="8" hidden="1">'Tab 3 - Capital Assets'!$A$1:$O$286</definedName>
    <definedName name="Z_9A25463D_BF6D_4A94_84A5_80E7F3451C59_.wvu.PrintArea" localSheetId="9" hidden="1">'Tab 4 - LT Liabilities'!$A$1:$I$332</definedName>
    <definedName name="Z_9A25463D_BF6D_4A94_84A5_80E7F3451C59_.wvu.PrintArea" localSheetId="11" hidden="1">'Tab 5 - Commitments'!$A$1:$F$17</definedName>
    <definedName name="Z_9A25463D_BF6D_4A94_84A5_80E7F3451C59_.wvu.PrintArea" localSheetId="12" hidden="1">'Tab 6 - Restatements'!$A$1:$H$38</definedName>
    <definedName name="Z_9A25463D_BF6D_4A94_84A5_80E7F3451C59_.wvu.PrintArea" localSheetId="13" hidden="1">'Tab 7 - Inventory'!$A$1:$F$34</definedName>
    <definedName name="Z_9A25463D_BF6D_4A94_84A5_80E7F3451C59_.wvu.PrintArea" localSheetId="14" hidden="1">'Tab 8 - Miscellaneous'!$A$1:$C$492</definedName>
    <definedName name="Z_9A25463D_BF6D_4A94_84A5_80E7F3451C59_.wvu.PrintArea" localSheetId="15" hidden="1">'Tab 9 - Imprmnt. of Cap. Assets'!$A$1:$N$81</definedName>
    <definedName name="Z_9A25463D_BF6D_4A94_84A5_80E7F3451C59_.wvu.PrintTitles" localSheetId="0" hidden="1">'Prior Year Amounts'!$A:$J</definedName>
    <definedName name="Z_9A25463D_BF6D_4A94_84A5_80E7F3451C59_.wvu.PrintTitles" localSheetId="18" hidden="1">'Revision Control Log'!$9:$9</definedName>
    <definedName name="Z_9A25463D_BF6D_4A94_84A5_80E7F3451C59_.wvu.PrintTitles" localSheetId="5" hidden="1">'Tab 1C - Foreign Currency Inv'!$1:$10</definedName>
    <definedName name="Z_9A25463D_BF6D_4A94_84A5_80E7F3451C59_.wvu.PrintTitles" localSheetId="2" hidden="1">'Template Flux'!$1:$13</definedName>
    <definedName name="Z_9A25463D_BF6D_4A94_84A5_80E7F3451C59_.wvu.Rows" localSheetId="17" hidden="1">Certification!$27:$27</definedName>
    <definedName name="Z_9A25463D_BF6D_4A94_84A5_80E7F3451C59_.wvu.Rows" localSheetId="1" hidden="1">'Component Unit Template'!$8:$8,'Component Unit Template'!$28:$31,'Component Unit Template'!$50:$50,'Component Unit Template'!$53:$53,'Component Unit Template'!$66:$67,'Component Unit Template'!$76:$76,'Component Unit Template'!$79:$79,'Component Unit Template'!$83:$88,'Component Unit Template'!$98:$98,'Component Unit Template'!$100:$100,'Component Unit Template'!$105:$105,'Component Unit Template'!$108:$108,'Component Unit Template'!$146:$146,'Component Unit Template'!$157:$157,'Component Unit Template'!$166:$166,'Component Unit Template'!#REF!,'Component Unit Template'!$239:$239,'Component Unit Template'!$271:$274</definedName>
    <definedName name="Z_9A25463D_BF6D_4A94_84A5_80E7F3451C59_.wvu.Rows" localSheetId="0" hidden="1">'Prior Year Amounts'!$2:$7,'Prior Year Amounts'!$12:$31,'Prior Year Amounts'!$44:$44,'Prior Year Amounts'!$70:$70,'Prior Year Amounts'!$73:$73,'Prior Year Amounts'!$77:$82,'Prior Year Amounts'!$92:$92,'Prior Year Amounts'!$99:$99,'Prior Year Amounts'!$136:$136,'Prior Year Amounts'!$147:$147,'Prior Year Amounts'!$205:$208,'Prior Year Amounts'!$226:$226,'Prior Year Amounts'!$260:$260,'Prior Year Amounts'!$364:$364</definedName>
    <definedName name="Z_9A25463D_BF6D_4A94_84A5_80E7F3451C59_.wvu.Rows" localSheetId="18" hidden="1">'Revision Control Log'!$63:$79</definedName>
    <definedName name="Z_9A25463D_BF6D_4A94_84A5_80E7F3451C59_.wvu.Rows" localSheetId="3" hidden="1">'Tab 1A - Detail'!$8:$25,'Tab 1A - Detail'!$375:$377</definedName>
    <definedName name="Z_9A25463D_BF6D_4A94_84A5_80E7F3451C59_.wvu.Rows" localSheetId="6" hidden="1">'Tab 1D - Recordation'!$62:$68,'Tab 1D - Recordation'!$70:$80,'Tab 1D - Recordation'!$89:$91</definedName>
    <definedName name="Z_9A25463D_BF6D_4A94_84A5_80E7F3451C59_.wvu.Rows" localSheetId="7" hidden="1">'Tab 2 - Receivables'!$9:$10,'Tab 2 - Receivables'!$16:$17,'Tab 2 - Receivables'!$35:$48,'Tab 2 - Receivables'!$73:$86,'Tab 2 - Receivables'!$169:$322</definedName>
    <definedName name="Z_9A25463D_BF6D_4A94_84A5_80E7F3451C59_.wvu.Rows" localSheetId="8" hidden="1">'Tab 3 - Capital Assets'!$8:$8,'Tab 3 - Capital Assets'!$19:$19,'Tab 3 - Capital Assets'!$89:$89,'Tab 3 - Capital Assets'!$226:$247,'Tab 3 - Capital Assets'!$259:$284</definedName>
    <definedName name="Z_9A25463D_BF6D_4A94_84A5_80E7F3451C59_.wvu.Rows" localSheetId="9" hidden="1">'Tab 4 - LT Liabilities'!$63:$63,'Tab 4 - LT Liabilities'!$69:$69,'Tab 4 - LT Liabilities'!$92:$92,'Tab 4 - LT Liabilities'!$315:$322,'Tab 4 - LT Liabilities'!$375:$378</definedName>
    <definedName name="Z_9A25463D_BF6D_4A94_84A5_80E7F3451C59_.wvu.Rows" localSheetId="10" hidden="1">'Tab 4A - Short-term Debt'!$43:$44</definedName>
    <definedName name="Z_9A25463D_BF6D_4A94_84A5_80E7F3451C59_.wvu.Rows" localSheetId="11" hidden="1">'Tab 5 - Commitments'!#REF!,'Tab 5 - Commitments'!#REF!,'Tab 5 - Commitments'!$23:$25</definedName>
    <definedName name="Z_9A25463D_BF6D_4A94_84A5_80E7F3451C59_.wvu.Rows" localSheetId="12" hidden="1">'Tab 6 - Restatements'!$8:$8</definedName>
    <definedName name="Z_9A25463D_BF6D_4A94_84A5_80E7F3451C59_.wvu.Rows" localSheetId="13" hidden="1">'Tab 7 - Inventory'!$8:$9,'Tab 7 - Inventory'!$30:$34</definedName>
    <definedName name="Z_9A25463D_BF6D_4A94_84A5_80E7F3451C59_.wvu.Rows" localSheetId="14" hidden="1">'Tab 8 - Miscellaneous'!$7:$7,'Tab 8 - Miscellaneous'!$13:$13,'Tab 8 - Miscellaneous'!$17:$17,'Tab 8 - Miscellaneous'!$20:$20,'Tab 8 - Miscellaneous'!$25:$25,'Tab 8 - Miscellaneous'!$32:$32,'Tab 8 - Miscellaneous'!$40:$40,'Tab 8 - Miscellaneous'!$47:$47,'Tab 8 - Miscellaneous'!$64:$64,'Tab 8 - Miscellaneous'!$76:$76,'Tab 8 - Miscellaneous'!$90:$115,'Tab 8 - Miscellaneous'!$120:$139,'Tab 8 - Miscellaneous'!$150:$172,'Tab 8 - Miscellaneous'!$174:$186,'Tab 8 - Miscellaneous'!$189:$197,'Tab 8 - Miscellaneous'!$200:$256,'Tab 8 - Miscellaneous'!$262:$267,'Tab 8 - Miscellaneous'!$269:$276,'Tab 8 - Miscellaneous'!$279:$303,'Tab 8 - Miscellaneous'!$305:$305,'Tab 8 - Miscellaneous'!$328:$336,'Tab 8 - Miscellaneous'!$354:$354,'Tab 8 - Miscellaneous'!$362:$368,'Tab 8 - Miscellaneous'!$372:$373,'Tab 8 - Miscellaneous'!$375:$407,'Tab 8 - Miscellaneous'!$411:$411,'Tab 8 - Miscellaneous'!$418:$418,'Tab 8 - Miscellaneous'!$444:$445,'Tab 8 - Miscellaneous'!$451:$454</definedName>
    <definedName name="Z_9A25463D_BF6D_4A94_84A5_80E7F3451C59_.wvu.Rows" localSheetId="15" hidden="1">'Tab 9 - Imprmnt. of Cap. Assets'!$82:$104</definedName>
    <definedName name="Z_9A25463D_BF6D_4A94_84A5_80E7F3451C59_.wvu.Rows" localSheetId="2" hidden="1">'Template Flux'!$25:$25,'Template Flux'!$49:$49,'Template Flux'!$84:$85</definedName>
    <definedName name="Z_A5477BC9_FA34_449D_B0C2_AF3469BA8BF0_.wvu.Cols" localSheetId="17" hidden="1">Certification!$R:$R</definedName>
    <definedName name="Z_A5477BC9_FA34_449D_B0C2_AF3469BA8BF0_.wvu.Cols" localSheetId="0" hidden="1">'Prior Year Amounts'!$E:$G</definedName>
    <definedName name="Z_A5477BC9_FA34_449D_B0C2_AF3469BA8BF0_.wvu.Cols" localSheetId="16" hidden="1">'Tab 10 - Net Inv in Cap Assets'!$H:$H</definedName>
    <definedName name="Z_A5477BC9_FA34_449D_B0C2_AF3469BA8BF0_.wvu.Cols" localSheetId="5" hidden="1">'Tab 1C - Foreign Currency Inv'!$AD:$AF</definedName>
    <definedName name="Z_A5477BC9_FA34_449D_B0C2_AF3469BA8BF0_.wvu.Cols" localSheetId="11" hidden="1">'Tab 5 - Commitments'!$F:$F</definedName>
    <definedName name="Z_A5477BC9_FA34_449D_B0C2_AF3469BA8BF0_.wvu.Cols" localSheetId="14" hidden="1">'Tab 8 - Miscellaneous'!$D:$D</definedName>
    <definedName name="Z_A5477BC9_FA34_449D_B0C2_AF3469BA8BF0_.wvu.PrintArea" localSheetId="17" hidden="1">Certification!$A$1:$O$54</definedName>
    <definedName name="Z_A5477BC9_FA34_449D_B0C2_AF3469BA8BF0_.wvu.PrintArea" localSheetId="1" hidden="1">'Component Unit Template'!$A$1:$P$275</definedName>
    <definedName name="Z_A5477BC9_FA34_449D_B0C2_AF3469BA8BF0_.wvu.PrintArea" localSheetId="0" hidden="1">'Prior Year Amounts'!$A$9:$BB$394</definedName>
    <definedName name="Z_A5477BC9_FA34_449D_B0C2_AF3469BA8BF0_.wvu.PrintArea" localSheetId="18" hidden="1">'Revision Control Log'!$A$1:$F$61</definedName>
    <definedName name="Z_A5477BC9_FA34_449D_B0C2_AF3469BA8BF0_.wvu.PrintArea" localSheetId="16" hidden="1">'Tab 10 - Net Inv in Cap Assets'!$A$1:$E$59</definedName>
    <definedName name="Z_A5477BC9_FA34_449D_B0C2_AF3469BA8BF0_.wvu.PrintArea" localSheetId="3" hidden="1">'Tab 1A - Detail'!$A$1:$J$364</definedName>
    <definedName name="Z_A5477BC9_FA34_449D_B0C2_AF3469BA8BF0_.wvu.PrintArea" localSheetId="6" hidden="1">'Tab 1D - Recordation'!$A$1:$F$80</definedName>
    <definedName name="Z_A5477BC9_FA34_449D_B0C2_AF3469BA8BF0_.wvu.PrintArea" localSheetId="7" hidden="1">'Tab 2 - Receivables'!$A$1:$I$162</definedName>
    <definedName name="Z_A5477BC9_FA34_449D_B0C2_AF3469BA8BF0_.wvu.PrintArea" localSheetId="8" hidden="1">'Tab 3 - Capital Assets'!$A$1:$O$286</definedName>
    <definedName name="Z_A5477BC9_FA34_449D_B0C2_AF3469BA8BF0_.wvu.PrintArea" localSheetId="9" hidden="1">'Tab 4 - LT Liabilities'!$A$1:$I$332</definedName>
    <definedName name="Z_A5477BC9_FA34_449D_B0C2_AF3469BA8BF0_.wvu.PrintArea" localSheetId="11" hidden="1">'Tab 5 - Commitments'!$A$1:$F$17</definedName>
    <definedName name="Z_A5477BC9_FA34_449D_B0C2_AF3469BA8BF0_.wvu.PrintArea" localSheetId="12" hidden="1">'Tab 6 - Restatements'!$A$1:$H$38</definedName>
    <definedName name="Z_A5477BC9_FA34_449D_B0C2_AF3469BA8BF0_.wvu.PrintArea" localSheetId="13" hidden="1">'Tab 7 - Inventory'!$A$1:$F$34</definedName>
    <definedName name="Z_A5477BC9_FA34_449D_B0C2_AF3469BA8BF0_.wvu.PrintArea" localSheetId="14" hidden="1">'Tab 8 - Miscellaneous'!$A$1:$C$445</definedName>
    <definedName name="Z_A5477BC9_FA34_449D_B0C2_AF3469BA8BF0_.wvu.PrintArea" localSheetId="15" hidden="1">'Tab 9 - Imprmnt. of Cap. Assets'!$A$1:$N$81</definedName>
    <definedName name="Z_A5477BC9_FA34_449D_B0C2_AF3469BA8BF0_.wvu.PrintTitles" localSheetId="0" hidden="1">'Prior Year Amounts'!$A:$J</definedName>
    <definedName name="Z_A5477BC9_FA34_449D_B0C2_AF3469BA8BF0_.wvu.PrintTitles" localSheetId="18" hidden="1">'Revision Control Log'!$9:$9</definedName>
    <definedName name="Z_A5477BC9_FA34_449D_B0C2_AF3469BA8BF0_.wvu.PrintTitles" localSheetId="5" hidden="1">'Tab 1C - Foreign Currency Inv'!$1:$10</definedName>
    <definedName name="Z_A5477BC9_FA34_449D_B0C2_AF3469BA8BF0_.wvu.Rows" localSheetId="17" hidden="1">Certification!$27:$27</definedName>
    <definedName name="Z_A5477BC9_FA34_449D_B0C2_AF3469BA8BF0_.wvu.Rows" localSheetId="1" hidden="1">'Component Unit Template'!$8:$8,'Component Unit Template'!$28:$31,'Component Unit Template'!$50:$50,'Component Unit Template'!$66:$67,'Component Unit Template'!$76:$76,'Component Unit Template'!$79:$79,'Component Unit Template'!$83:$88,'Component Unit Template'!$98:$98,'Component Unit Template'!$105:$105,'Component Unit Template'!$108:$108,'Component Unit Template'!$146:$146,'Component Unit Template'!$157:$157,'Component Unit Template'!$167:$167,'Component Unit Template'!#REF!,'Component Unit Template'!$239:$239,'Component Unit Template'!$271:$274</definedName>
    <definedName name="Z_A5477BC9_FA34_449D_B0C2_AF3469BA8BF0_.wvu.Rows" localSheetId="0" hidden="1">'Prior Year Amounts'!$1:$7,'Prior Year Amounts'!$12:$30,'Prior Year Amounts'!$44:$44,'Prior Year Amounts'!$70:$70,'Prior Year Amounts'!$73:$73,'Prior Year Amounts'!$77:$82,'Prior Year Amounts'!$92:$92,'Prior Year Amounts'!$99:$99,'Prior Year Amounts'!$136:$136,'Prior Year Amounts'!$147:$147,'Prior Year Amounts'!$205:$208,'Prior Year Amounts'!$226:$226,'Prior Year Amounts'!$260:$260,'Prior Year Amounts'!$364:$364</definedName>
    <definedName name="Z_A5477BC9_FA34_449D_B0C2_AF3469BA8BF0_.wvu.Rows" localSheetId="18" hidden="1">'Revision Control Log'!$63:$79</definedName>
    <definedName name="Z_A5477BC9_FA34_449D_B0C2_AF3469BA8BF0_.wvu.Rows" localSheetId="3" hidden="1">'Tab 1A - Detail'!$8:$25,'Tab 1A - Detail'!$375:$377</definedName>
    <definedName name="Z_A5477BC9_FA34_449D_B0C2_AF3469BA8BF0_.wvu.Rows" localSheetId="6" hidden="1">'Tab 1D - Recordation'!$62:$67,'Tab 1D - Recordation'!$89:$91</definedName>
    <definedName name="Z_A5477BC9_FA34_449D_B0C2_AF3469BA8BF0_.wvu.Rows" localSheetId="7" hidden="1">'Tab 2 - Receivables'!$9:$10,'Tab 2 - Receivables'!$16:$17,'Tab 2 - Receivables'!$73:$86,'Tab 2 - Receivables'!$169:$324</definedName>
    <definedName name="Z_A5477BC9_FA34_449D_B0C2_AF3469BA8BF0_.wvu.Rows" localSheetId="8" hidden="1">'Tab 3 - Capital Assets'!$8:$8,'Tab 3 - Capital Assets'!$19:$19,'Tab 3 - Capital Assets'!$89:$89,'Tab 3 - Capital Assets'!$226:$247,'Tab 3 - Capital Assets'!$259:$262</definedName>
    <definedName name="Z_A5477BC9_FA34_449D_B0C2_AF3469BA8BF0_.wvu.Rows" localSheetId="9" hidden="1">'Tab 4 - LT Liabilities'!$63:$63,'Tab 4 - LT Liabilities'!#REF!,'Tab 4 - LT Liabilities'!$69:$69,'Tab 4 - LT Liabilities'!$92:$92,'Tab 4 - LT Liabilities'!$97:$97,'Tab 4 - LT Liabilities'!$315:$315,'Tab 4 - LT Liabilities'!$375:$378</definedName>
    <definedName name="Z_A5477BC9_FA34_449D_B0C2_AF3469BA8BF0_.wvu.Rows" localSheetId="10" hidden="1">'Tab 4A - Short-term Debt'!$43:$44</definedName>
    <definedName name="Z_A5477BC9_FA34_449D_B0C2_AF3469BA8BF0_.wvu.Rows" localSheetId="11" hidden="1">'Tab 5 - Commitments'!#REF!,'Tab 5 - Commitments'!$23:$25</definedName>
    <definedName name="Z_A5477BC9_FA34_449D_B0C2_AF3469BA8BF0_.wvu.Rows" localSheetId="12" hidden="1">'Tab 6 - Restatements'!$8:$8</definedName>
    <definedName name="Z_A5477BC9_FA34_449D_B0C2_AF3469BA8BF0_.wvu.Rows" localSheetId="13" hidden="1">'Tab 7 - Inventory'!$8:$9,'Tab 7 - Inventory'!$30:$34</definedName>
    <definedName name="Z_A5477BC9_FA34_449D_B0C2_AF3469BA8BF0_.wvu.Rows" localSheetId="14" hidden="1">'Tab 8 - Miscellaneous'!$7:$7,'Tab 8 - Miscellaneous'!$13:$13,'Tab 8 - Miscellaneous'!$17:$17,'Tab 8 - Miscellaneous'!$20:$20,'Tab 8 - Miscellaneous'!$25:$25,'Tab 8 - Miscellaneous'!$32:$32,'Tab 8 - Miscellaneous'!$40:$40,'Tab 8 - Miscellaneous'!$47:$47,'Tab 8 - Miscellaneous'!$64:$64,'Tab 8 - Miscellaneous'!$76:$76,'Tab 8 - Miscellaneous'!$90:$90,'Tab 8 - Miscellaneous'!$95:$95,'Tab 8 - Miscellaneous'!$100:$100,'Tab 8 - Miscellaneous'!$105:$105,'Tab 8 - Miscellaneous'!$111:$111,'Tab 8 - Miscellaneous'!$120:$120,'Tab 8 - Miscellaneous'!$125:$125,'Tab 8 - Miscellaneous'!$130:$130,'Tab 8 - Miscellaneous'!$135:$135,'Tab 8 - Miscellaneous'!$189:$191,'Tab 8 - Miscellaneous'!$193:$193,'Tab 8 - Miscellaneous'!$197:$197,'Tab 8 - Miscellaneous'!$226:$227,'Tab 8 - Miscellaneous'!$232:$234,'Tab 8 - Miscellaneous'!$283:$283,'Tab 8 - Miscellaneous'!$305:$305,'Tab 8 - Miscellaneous'!$354:$354</definedName>
    <definedName name="Z_A5477BC9_FA34_449D_B0C2_AF3469BA8BF0_.wvu.Rows" localSheetId="15" hidden="1">'Tab 9 - Imprmnt. of Cap. Assets'!$82:$104</definedName>
    <definedName name="Z_DFFBE5FE_C073_48C5_BDD2_B0EAD8B5A8E7_.wvu.Cols" localSheetId="17" hidden="1">Certification!$R:$R</definedName>
    <definedName name="Z_DFFBE5FE_C073_48C5_BDD2_B0EAD8B5A8E7_.wvu.Cols" localSheetId="0" hidden="1">'Prior Year Amounts'!$E:$G</definedName>
    <definedName name="Z_DFFBE5FE_C073_48C5_BDD2_B0EAD8B5A8E7_.wvu.Cols" localSheetId="16" hidden="1">'Tab 10 - Net Inv in Cap Assets'!$H:$H</definedName>
    <definedName name="Z_DFFBE5FE_C073_48C5_BDD2_B0EAD8B5A8E7_.wvu.Cols" localSheetId="5" hidden="1">'Tab 1C - Foreign Currency Inv'!$AD:$AF</definedName>
    <definedName name="Z_DFFBE5FE_C073_48C5_BDD2_B0EAD8B5A8E7_.wvu.Cols" localSheetId="11" hidden="1">'Tab 5 - Commitments'!$F:$F</definedName>
    <definedName name="Z_DFFBE5FE_C073_48C5_BDD2_B0EAD8B5A8E7_.wvu.Cols" localSheetId="14" hidden="1">'Tab 8 - Miscellaneous'!$D:$D</definedName>
    <definedName name="Z_DFFBE5FE_C073_48C5_BDD2_B0EAD8B5A8E7_.wvu.PrintArea" localSheetId="17" hidden="1">Certification!$A$1:$O$54</definedName>
    <definedName name="Z_DFFBE5FE_C073_48C5_BDD2_B0EAD8B5A8E7_.wvu.PrintArea" localSheetId="1" hidden="1">'Component Unit Template'!$A$1:$P$275</definedName>
    <definedName name="Z_DFFBE5FE_C073_48C5_BDD2_B0EAD8B5A8E7_.wvu.PrintArea" localSheetId="0" hidden="1">'Prior Year Amounts'!$A$9:$BB$394</definedName>
    <definedName name="Z_DFFBE5FE_C073_48C5_BDD2_B0EAD8B5A8E7_.wvu.PrintArea" localSheetId="18" hidden="1">'Revision Control Log'!$A$1:$F$61</definedName>
    <definedName name="Z_DFFBE5FE_C073_48C5_BDD2_B0EAD8B5A8E7_.wvu.PrintArea" localSheetId="16" hidden="1">'Tab 10 - Net Inv in Cap Assets'!$A$1:$E$59</definedName>
    <definedName name="Z_DFFBE5FE_C073_48C5_BDD2_B0EAD8B5A8E7_.wvu.PrintArea" localSheetId="3" hidden="1">'Tab 1A - Detail'!$A$1:$J$364</definedName>
    <definedName name="Z_DFFBE5FE_C073_48C5_BDD2_B0EAD8B5A8E7_.wvu.PrintArea" localSheetId="6" hidden="1">'Tab 1D - Recordation'!$A$1:$F$80</definedName>
    <definedName name="Z_DFFBE5FE_C073_48C5_BDD2_B0EAD8B5A8E7_.wvu.PrintArea" localSheetId="7" hidden="1">'Tab 2 - Receivables'!$A$1:$I$162</definedName>
    <definedName name="Z_DFFBE5FE_C073_48C5_BDD2_B0EAD8B5A8E7_.wvu.PrintArea" localSheetId="8" hidden="1">'Tab 3 - Capital Assets'!$A$1:$O$286</definedName>
    <definedName name="Z_DFFBE5FE_C073_48C5_BDD2_B0EAD8B5A8E7_.wvu.PrintArea" localSheetId="9" hidden="1">'Tab 4 - LT Liabilities'!$A$1:$I$332</definedName>
    <definedName name="Z_DFFBE5FE_C073_48C5_BDD2_B0EAD8B5A8E7_.wvu.PrintArea" localSheetId="11" hidden="1">'Tab 5 - Commitments'!$A$1:$F$17</definedName>
    <definedName name="Z_DFFBE5FE_C073_48C5_BDD2_B0EAD8B5A8E7_.wvu.PrintArea" localSheetId="12" hidden="1">'Tab 6 - Restatements'!$A$1:$H$38</definedName>
    <definedName name="Z_DFFBE5FE_C073_48C5_BDD2_B0EAD8B5A8E7_.wvu.PrintArea" localSheetId="13" hidden="1">'Tab 7 - Inventory'!$A$1:$F$34</definedName>
    <definedName name="Z_DFFBE5FE_C073_48C5_BDD2_B0EAD8B5A8E7_.wvu.PrintArea" localSheetId="14" hidden="1">'Tab 8 - Miscellaneous'!$A$1:$C$445</definedName>
    <definedName name="Z_DFFBE5FE_C073_48C5_BDD2_B0EAD8B5A8E7_.wvu.PrintArea" localSheetId="15" hidden="1">'Tab 9 - Imprmnt. of Cap. Assets'!$A$1:$N$81</definedName>
    <definedName name="Z_DFFBE5FE_C073_48C5_BDD2_B0EAD8B5A8E7_.wvu.PrintTitles" localSheetId="0" hidden="1">'Prior Year Amounts'!$A:$J</definedName>
    <definedName name="Z_DFFBE5FE_C073_48C5_BDD2_B0EAD8B5A8E7_.wvu.PrintTitles" localSheetId="18" hidden="1">'Revision Control Log'!$9:$9</definedName>
    <definedName name="Z_DFFBE5FE_C073_48C5_BDD2_B0EAD8B5A8E7_.wvu.PrintTitles" localSheetId="5" hidden="1">'Tab 1C - Foreign Currency Inv'!$1:$10</definedName>
    <definedName name="Z_DFFBE5FE_C073_48C5_BDD2_B0EAD8B5A8E7_.wvu.Rows" localSheetId="17" hidden="1">Certification!$27:$27</definedName>
    <definedName name="Z_DFFBE5FE_C073_48C5_BDD2_B0EAD8B5A8E7_.wvu.Rows" localSheetId="1" hidden="1">'Component Unit Template'!$8:$8,'Component Unit Template'!$28:$31,'Component Unit Template'!$50:$50,'Component Unit Template'!$66:$67,'Component Unit Template'!$76:$76,'Component Unit Template'!$79:$79,'Component Unit Template'!$83:$88,'Component Unit Template'!$98:$98,'Component Unit Template'!$105:$105,'Component Unit Template'!$108:$108,'Component Unit Template'!$146:$146,'Component Unit Template'!$157:$157,'Component Unit Template'!$167:$167,'Component Unit Template'!#REF!,'Component Unit Template'!$239:$239,'Component Unit Template'!$271:$274</definedName>
    <definedName name="Z_DFFBE5FE_C073_48C5_BDD2_B0EAD8B5A8E7_.wvu.Rows" localSheetId="0" hidden="1">'Prior Year Amounts'!$1:$7,'Prior Year Amounts'!$12:$30,'Prior Year Amounts'!$44:$44,'Prior Year Amounts'!$70:$70,'Prior Year Amounts'!$73:$73,'Prior Year Amounts'!$77:$82,'Prior Year Amounts'!$92:$92,'Prior Year Amounts'!$99:$99,'Prior Year Amounts'!$136:$136,'Prior Year Amounts'!$147:$147,'Prior Year Amounts'!$205:$208,'Prior Year Amounts'!$226:$226,'Prior Year Amounts'!$260:$260,'Prior Year Amounts'!$364:$364</definedName>
    <definedName name="Z_DFFBE5FE_C073_48C5_BDD2_B0EAD8B5A8E7_.wvu.Rows" localSheetId="18" hidden="1">'Revision Control Log'!$63:$79</definedName>
    <definedName name="Z_DFFBE5FE_C073_48C5_BDD2_B0EAD8B5A8E7_.wvu.Rows" localSheetId="3" hidden="1">'Tab 1A - Detail'!$8:$25,'Tab 1A - Detail'!$375:$377</definedName>
    <definedName name="Z_DFFBE5FE_C073_48C5_BDD2_B0EAD8B5A8E7_.wvu.Rows" localSheetId="6" hidden="1">'Tab 1D - Recordation'!$62:$67,'Tab 1D - Recordation'!$89:$91</definedName>
    <definedName name="Z_DFFBE5FE_C073_48C5_BDD2_B0EAD8B5A8E7_.wvu.Rows" localSheetId="7" hidden="1">'Tab 2 - Receivables'!$9:$10,'Tab 2 - Receivables'!$16:$17,'Tab 2 - Receivables'!$73:$86,'Tab 2 - Receivables'!$169:$324</definedName>
    <definedName name="Z_DFFBE5FE_C073_48C5_BDD2_B0EAD8B5A8E7_.wvu.Rows" localSheetId="8" hidden="1">'Tab 3 - Capital Assets'!$8:$8,'Tab 3 - Capital Assets'!$19:$19,'Tab 3 - Capital Assets'!$89:$89,'Tab 3 - Capital Assets'!$226:$247,'Tab 3 - Capital Assets'!$259:$262</definedName>
    <definedName name="Z_DFFBE5FE_C073_48C5_BDD2_B0EAD8B5A8E7_.wvu.Rows" localSheetId="9" hidden="1">'Tab 4 - LT Liabilities'!$63:$63,'Tab 4 - LT Liabilities'!#REF!,'Tab 4 - LT Liabilities'!$69:$69,'Tab 4 - LT Liabilities'!$92:$92,'Tab 4 - LT Liabilities'!$97:$97,'Tab 4 - LT Liabilities'!$315:$315,'Tab 4 - LT Liabilities'!$375:$378</definedName>
    <definedName name="Z_DFFBE5FE_C073_48C5_BDD2_B0EAD8B5A8E7_.wvu.Rows" localSheetId="10" hidden="1">'Tab 4A - Short-term Debt'!$43:$44</definedName>
    <definedName name="Z_DFFBE5FE_C073_48C5_BDD2_B0EAD8B5A8E7_.wvu.Rows" localSheetId="11" hidden="1">'Tab 5 - Commitments'!#REF!,'Tab 5 - Commitments'!$23:$25</definedName>
    <definedName name="Z_DFFBE5FE_C073_48C5_BDD2_B0EAD8B5A8E7_.wvu.Rows" localSheetId="12" hidden="1">'Tab 6 - Restatements'!$8:$8</definedName>
    <definedName name="Z_DFFBE5FE_C073_48C5_BDD2_B0EAD8B5A8E7_.wvu.Rows" localSheetId="13" hidden="1">'Tab 7 - Inventory'!$8:$9,'Tab 7 - Inventory'!$30:$34</definedName>
    <definedName name="Z_DFFBE5FE_C073_48C5_BDD2_B0EAD8B5A8E7_.wvu.Rows" localSheetId="14" hidden="1">'Tab 8 - Miscellaneous'!$7:$7,'Tab 8 - Miscellaneous'!$13:$13,'Tab 8 - Miscellaneous'!$17:$17,'Tab 8 - Miscellaneous'!$20:$20,'Tab 8 - Miscellaneous'!$25:$25,'Tab 8 - Miscellaneous'!$32:$32,'Tab 8 - Miscellaneous'!$40:$40,'Tab 8 - Miscellaneous'!$47:$47,'Tab 8 - Miscellaneous'!$64:$64,'Tab 8 - Miscellaneous'!$76:$76,'Tab 8 - Miscellaneous'!$90:$90,'Tab 8 - Miscellaneous'!$95:$95,'Tab 8 - Miscellaneous'!$100:$100,'Tab 8 - Miscellaneous'!$105:$105,'Tab 8 - Miscellaneous'!$111:$111,'Tab 8 - Miscellaneous'!$120:$120,'Tab 8 - Miscellaneous'!$125:$125,'Tab 8 - Miscellaneous'!$130:$130,'Tab 8 - Miscellaneous'!$135:$135,'Tab 8 - Miscellaneous'!$189:$191,'Tab 8 - Miscellaneous'!$193:$193,'Tab 8 - Miscellaneous'!$197:$197,'Tab 8 - Miscellaneous'!$226:$227,'Tab 8 - Miscellaneous'!$232:$234,'Tab 8 - Miscellaneous'!$283:$283,'Tab 8 - Miscellaneous'!$305:$305,'Tab 8 - Miscellaneous'!$354:$354</definedName>
    <definedName name="Z_DFFBE5FE_C073_48C5_BDD2_B0EAD8B5A8E7_.wvu.Rows" localSheetId="15" hidden="1">'Tab 9 - Imprmnt. of Cap. Assets'!$82:$104</definedName>
    <definedName name="Z_FBB78E72_3FBC_498A_91AC_D094BCE26D3C_.wvu.Cols" localSheetId="17" hidden="1">Certification!$R:$R</definedName>
    <definedName name="Z_FBB78E72_3FBC_498A_91AC_D094BCE26D3C_.wvu.Cols" localSheetId="0" hidden="1">'Prior Year Amounts'!$E:$G</definedName>
    <definedName name="Z_FBB78E72_3FBC_498A_91AC_D094BCE26D3C_.wvu.Cols" localSheetId="16" hidden="1">'Tab 10 - Net Inv in Cap Assets'!$H:$H</definedName>
    <definedName name="Z_FBB78E72_3FBC_498A_91AC_D094BCE26D3C_.wvu.Cols" localSheetId="5" hidden="1">'Tab 1C - Foreign Currency Inv'!$AD:$AF</definedName>
    <definedName name="Z_FBB78E72_3FBC_498A_91AC_D094BCE26D3C_.wvu.Cols" localSheetId="11" hidden="1">'Tab 5 - Commitments'!$F:$F</definedName>
    <definedName name="Z_FBB78E72_3FBC_498A_91AC_D094BCE26D3C_.wvu.Cols" localSheetId="14" hidden="1">'Tab 8 - Miscellaneous'!$D:$D</definedName>
    <definedName name="Z_FBB78E72_3FBC_498A_91AC_D094BCE26D3C_.wvu.PrintArea" localSheetId="17" hidden="1">Certification!$A$1:$O$54</definedName>
    <definedName name="Z_FBB78E72_3FBC_498A_91AC_D094BCE26D3C_.wvu.PrintArea" localSheetId="1" hidden="1">'Component Unit Template'!$A$1:$P$275</definedName>
    <definedName name="Z_FBB78E72_3FBC_498A_91AC_D094BCE26D3C_.wvu.PrintArea" localSheetId="0" hidden="1">'Prior Year Amounts'!$A$9:$BB$394</definedName>
    <definedName name="Z_FBB78E72_3FBC_498A_91AC_D094BCE26D3C_.wvu.PrintArea" localSheetId="18" hidden="1">'Revision Control Log'!$A$1:$F$61</definedName>
    <definedName name="Z_FBB78E72_3FBC_498A_91AC_D094BCE26D3C_.wvu.PrintArea" localSheetId="16" hidden="1">'Tab 10 - Net Inv in Cap Assets'!$A$1:$E$59</definedName>
    <definedName name="Z_FBB78E72_3FBC_498A_91AC_D094BCE26D3C_.wvu.PrintArea" localSheetId="3" hidden="1">'Tab 1A - Detail'!$A$1:$J$364</definedName>
    <definedName name="Z_FBB78E72_3FBC_498A_91AC_D094BCE26D3C_.wvu.PrintArea" localSheetId="6" hidden="1">'Tab 1D - Recordation'!$A$1:$F$80</definedName>
    <definedName name="Z_FBB78E72_3FBC_498A_91AC_D094BCE26D3C_.wvu.PrintArea" localSheetId="7" hidden="1">'Tab 2 - Receivables'!$A$1:$I$162</definedName>
    <definedName name="Z_FBB78E72_3FBC_498A_91AC_D094BCE26D3C_.wvu.PrintArea" localSheetId="8" hidden="1">'Tab 3 - Capital Assets'!$A$1:$O$286</definedName>
    <definedName name="Z_FBB78E72_3FBC_498A_91AC_D094BCE26D3C_.wvu.PrintArea" localSheetId="9" hidden="1">'Tab 4 - LT Liabilities'!$A$1:$I$332</definedName>
    <definedName name="Z_FBB78E72_3FBC_498A_91AC_D094BCE26D3C_.wvu.PrintArea" localSheetId="11" hidden="1">'Tab 5 - Commitments'!$A$1:$F$17</definedName>
    <definedName name="Z_FBB78E72_3FBC_498A_91AC_D094BCE26D3C_.wvu.PrintArea" localSheetId="12" hidden="1">'Tab 6 - Restatements'!$A$1:$H$38</definedName>
    <definedName name="Z_FBB78E72_3FBC_498A_91AC_D094BCE26D3C_.wvu.PrintArea" localSheetId="13" hidden="1">'Tab 7 - Inventory'!$A$1:$F$34</definedName>
    <definedName name="Z_FBB78E72_3FBC_498A_91AC_D094BCE26D3C_.wvu.PrintArea" localSheetId="14" hidden="1">'Tab 8 - Miscellaneous'!$A$1:$C$445</definedName>
    <definedName name="Z_FBB78E72_3FBC_498A_91AC_D094BCE26D3C_.wvu.PrintArea" localSheetId="15" hidden="1">'Tab 9 - Imprmnt. of Cap. Assets'!$A$1:$N$81</definedName>
    <definedName name="Z_FBB78E72_3FBC_498A_91AC_D094BCE26D3C_.wvu.PrintTitles" localSheetId="0" hidden="1">'Prior Year Amounts'!$A:$J</definedName>
    <definedName name="Z_FBB78E72_3FBC_498A_91AC_D094BCE26D3C_.wvu.PrintTitles" localSheetId="18" hidden="1">'Revision Control Log'!$9:$9</definedName>
    <definedName name="Z_FBB78E72_3FBC_498A_91AC_D094BCE26D3C_.wvu.PrintTitles" localSheetId="5" hidden="1">'Tab 1C - Foreign Currency Inv'!$1:$10</definedName>
    <definedName name="Z_FBB78E72_3FBC_498A_91AC_D094BCE26D3C_.wvu.Rows" localSheetId="17" hidden="1">Certification!$27:$27</definedName>
    <definedName name="Z_FBB78E72_3FBC_498A_91AC_D094BCE26D3C_.wvu.Rows" localSheetId="1" hidden="1">'Component Unit Template'!$8:$8,'Component Unit Template'!$28:$31,'Component Unit Template'!$50:$50,'Component Unit Template'!$66:$67,'Component Unit Template'!$76:$76,'Component Unit Template'!$79:$79,'Component Unit Template'!$83:$88,'Component Unit Template'!$98:$98,'Component Unit Template'!$105:$105,'Component Unit Template'!$108:$108,'Component Unit Template'!$146:$146,'Component Unit Template'!$157:$157,'Component Unit Template'!$167:$167,'Component Unit Template'!#REF!,'Component Unit Template'!$239:$239,'Component Unit Template'!$271:$274</definedName>
    <definedName name="Z_FBB78E72_3FBC_498A_91AC_D094BCE26D3C_.wvu.Rows" localSheetId="0" hidden="1">'Prior Year Amounts'!$1:$7,'Prior Year Amounts'!$12:$30,'Prior Year Amounts'!$44:$44,'Prior Year Amounts'!$70:$70,'Prior Year Amounts'!$73:$73,'Prior Year Amounts'!$77:$82,'Prior Year Amounts'!$92:$92,'Prior Year Amounts'!$99:$99,'Prior Year Amounts'!$136:$136,'Prior Year Amounts'!$147:$147,'Prior Year Amounts'!$205:$208,'Prior Year Amounts'!$226:$226,'Prior Year Amounts'!$260:$260,'Prior Year Amounts'!$364:$364</definedName>
    <definedName name="Z_FBB78E72_3FBC_498A_91AC_D094BCE26D3C_.wvu.Rows" localSheetId="18" hidden="1">'Revision Control Log'!$63:$79</definedName>
    <definedName name="Z_FBB78E72_3FBC_498A_91AC_D094BCE26D3C_.wvu.Rows" localSheetId="3" hidden="1">'Tab 1A - Detail'!$8:$25,'Tab 1A - Detail'!$375:$377</definedName>
    <definedName name="Z_FBB78E72_3FBC_498A_91AC_D094BCE26D3C_.wvu.Rows" localSheetId="6" hidden="1">'Tab 1D - Recordation'!$62:$67,'Tab 1D - Recordation'!$89:$91</definedName>
    <definedName name="Z_FBB78E72_3FBC_498A_91AC_D094BCE26D3C_.wvu.Rows" localSheetId="7" hidden="1">'Tab 2 - Receivables'!$9:$10,'Tab 2 - Receivables'!$16:$17,'Tab 2 - Receivables'!$73:$86,'Tab 2 - Receivables'!$169:$324</definedName>
    <definedName name="Z_FBB78E72_3FBC_498A_91AC_D094BCE26D3C_.wvu.Rows" localSheetId="8" hidden="1">'Tab 3 - Capital Assets'!$8:$8,'Tab 3 - Capital Assets'!$19:$19,'Tab 3 - Capital Assets'!$89:$89,'Tab 3 - Capital Assets'!$226:$247,'Tab 3 - Capital Assets'!$259:$262</definedName>
    <definedName name="Z_FBB78E72_3FBC_498A_91AC_D094BCE26D3C_.wvu.Rows" localSheetId="9" hidden="1">'Tab 4 - LT Liabilities'!$63:$63,'Tab 4 - LT Liabilities'!#REF!,'Tab 4 - LT Liabilities'!$69:$69,'Tab 4 - LT Liabilities'!$92:$92,'Tab 4 - LT Liabilities'!$97:$97,'Tab 4 - LT Liabilities'!$315:$315,'Tab 4 - LT Liabilities'!$375:$378</definedName>
    <definedName name="Z_FBB78E72_3FBC_498A_91AC_D094BCE26D3C_.wvu.Rows" localSheetId="10" hidden="1">'Tab 4A - Short-term Debt'!$43:$44</definedName>
    <definedName name="Z_FBB78E72_3FBC_498A_91AC_D094BCE26D3C_.wvu.Rows" localSheetId="11" hidden="1">'Tab 5 - Commitments'!#REF!,'Tab 5 - Commitments'!$23:$25</definedName>
    <definedName name="Z_FBB78E72_3FBC_498A_91AC_D094BCE26D3C_.wvu.Rows" localSheetId="12" hidden="1">'Tab 6 - Restatements'!$8:$8</definedName>
    <definedName name="Z_FBB78E72_3FBC_498A_91AC_D094BCE26D3C_.wvu.Rows" localSheetId="13" hidden="1">'Tab 7 - Inventory'!$8:$9,'Tab 7 - Inventory'!$30:$34</definedName>
    <definedName name="Z_FBB78E72_3FBC_498A_91AC_D094BCE26D3C_.wvu.Rows" localSheetId="14" hidden="1">'Tab 8 - Miscellaneous'!$7:$7,'Tab 8 - Miscellaneous'!$13:$13,'Tab 8 - Miscellaneous'!$17:$17,'Tab 8 - Miscellaneous'!$20:$20,'Tab 8 - Miscellaneous'!$25:$25,'Tab 8 - Miscellaneous'!$32:$32,'Tab 8 - Miscellaneous'!$40:$40,'Tab 8 - Miscellaneous'!$47:$47,'Tab 8 - Miscellaneous'!$64:$64,'Tab 8 - Miscellaneous'!$76:$76,'Tab 8 - Miscellaneous'!$90:$90,'Tab 8 - Miscellaneous'!$95:$95,'Tab 8 - Miscellaneous'!$100:$100,'Tab 8 - Miscellaneous'!$105:$105,'Tab 8 - Miscellaneous'!$111:$111,'Tab 8 - Miscellaneous'!$120:$120,'Tab 8 - Miscellaneous'!$125:$125,'Tab 8 - Miscellaneous'!$130:$130,'Tab 8 - Miscellaneous'!$135:$135,'Tab 8 - Miscellaneous'!$189:$191,'Tab 8 - Miscellaneous'!$193:$193,'Tab 8 - Miscellaneous'!$197:$197,'Tab 8 - Miscellaneous'!$226:$227,'Tab 8 - Miscellaneous'!$232:$234,'Tab 8 - Miscellaneous'!$283:$283,'Tab 8 - Miscellaneous'!$305:$305,'Tab 8 - Miscellaneous'!$354:$354</definedName>
    <definedName name="Z_FBB78E72_3FBC_498A_91AC_D094BCE26D3C_.wvu.Rows" localSheetId="15" hidden="1">'Tab 9 - Imprmnt. of Cap. Assets'!$82:$104</definedName>
  </definedNames>
  <calcPr calcId="191029"/>
  <customWorkbookViews>
    <customWorkbookView name="Esther Kim, DOA - Personal View" guid="{FBB78E72-3FBC-498A-91AC-D094BCE26D3C}" mergeInterval="0" personalView="1" maximized="1" windowWidth="1280" windowHeight="778" tabRatio="920" activeSheetId="17"/>
    <customWorkbookView name="Hannah Goodman - Personal View" guid="{A5477BC9-FA34-449D-B0C2-AF3469BA8BF0}" mergeInterval="0" personalView="1" maximized="1" windowWidth="1280" windowHeight="838" tabRatio="920" activeSheetId="5" showComments="commIndAndComment"/>
    <customWorkbookView name="Aneri Patel - Personal View" guid="{DFFBE5FE-C073-48C5-BDD2-B0EAD8B5A8E7}" mergeInterval="0" personalView="1" maximized="1" windowWidth="1280" windowHeight="759" tabRatio="657" activeSheetId="4"/>
    <customWorkbookView name="DL - Personal View" guid="{9A25463D-BF6D-4A94-84A5-80E7F3451C59}" mergeInterval="0" personalView="1" maximized="1" xWindow="1912" yWindow="-8" windowWidth="1936" windowHeight="1056" tabRatio="916" activeSheetId="12"/>
    <customWorkbookView name="VITA Program - Personal View" guid="{10B70302-090E-4CFD-BAE6-CC560B897D26}" mergeInterval="0" personalView="1" maximized="1" xWindow="1912" yWindow="-8" windowWidth="1936" windowHeight="1056" tabRatio="916" activeSheetId="17"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0" i="1" l="1"/>
  <c r="L245" i="1"/>
  <c r="M245" i="1" s="1"/>
  <c r="E133" i="3"/>
  <c r="O147" i="1"/>
  <c r="O144" i="1"/>
  <c r="O138" i="1"/>
  <c r="O121" i="1"/>
  <c r="O119" i="1"/>
  <c r="O117" i="1"/>
  <c r="O115" i="1"/>
  <c r="O113" i="1"/>
  <c r="O111" i="1"/>
  <c r="O105" i="1"/>
  <c r="O104" i="1"/>
  <c r="O98" i="1"/>
  <c r="O97" i="1"/>
  <c r="O88" i="1"/>
  <c r="O87" i="1"/>
  <c r="O86" i="1"/>
  <c r="O85" i="1"/>
  <c r="O84" i="1"/>
  <c r="O83" i="1"/>
  <c r="O82" i="1"/>
  <c r="O75" i="1"/>
  <c r="O73" i="1"/>
  <c r="O71" i="1"/>
  <c r="O69" i="1"/>
  <c r="O67" i="1"/>
  <c r="O65" i="1"/>
  <c r="O57" i="1"/>
  <c r="O50" i="1"/>
  <c r="O49" i="1"/>
  <c r="L261" i="1"/>
  <c r="L252" i="1"/>
  <c r="L251" i="1"/>
  <c r="L249" i="1"/>
  <c r="L248" i="1"/>
  <c r="L247" i="1"/>
  <c r="L246" i="1"/>
  <c r="L244" i="1"/>
  <c r="L243" i="1"/>
  <c r="L242" i="1"/>
  <c r="L235" i="1"/>
  <c r="L234" i="1"/>
  <c r="L233" i="1"/>
  <c r="L229" i="1"/>
  <c r="L228" i="1"/>
  <c r="L227" i="1"/>
  <c r="L226" i="1"/>
  <c r="L214" i="1"/>
  <c r="L213" i="1"/>
  <c r="L212" i="1"/>
  <c r="L211" i="1"/>
  <c r="L210" i="1"/>
  <c r="L209" i="1"/>
  <c r="L208" i="1"/>
  <c r="L207" i="1"/>
  <c r="L204" i="1"/>
  <c r="L202" i="1"/>
  <c r="L197" i="1"/>
  <c r="L192" i="1"/>
  <c r="L191" i="1"/>
  <c r="L190" i="1"/>
  <c r="L189" i="1"/>
  <c r="L188" i="1"/>
  <c r="L187" i="1"/>
  <c r="L186" i="1"/>
  <c r="L185" i="1"/>
  <c r="L184" i="1"/>
  <c r="L183" i="1"/>
  <c r="L182" i="1"/>
  <c r="L181" i="1"/>
  <c r="L180" i="1"/>
  <c r="L179" i="1"/>
  <c r="L176" i="1"/>
  <c r="L175" i="1"/>
  <c r="L174" i="1"/>
  <c r="L173" i="1"/>
  <c r="L170" i="1"/>
  <c r="L169" i="1"/>
  <c r="L168" i="1"/>
  <c r="L167" i="1"/>
  <c r="L166" i="1"/>
  <c r="L165" i="1"/>
  <c r="L164" i="1"/>
  <c r="L163" i="1"/>
  <c r="L162" i="1"/>
  <c r="L161" i="1"/>
  <c r="L160" i="1"/>
  <c r="L159" i="1"/>
  <c r="L158" i="1"/>
  <c r="L155" i="1"/>
  <c r="L152" i="1"/>
  <c r="L151" i="1"/>
  <c r="L150" i="1"/>
  <c r="L149" i="1"/>
  <c r="L148" i="1"/>
  <c r="L146" i="1"/>
  <c r="L145" i="1"/>
  <c r="L143" i="1"/>
  <c r="L142" i="1"/>
  <c r="L141" i="1"/>
  <c r="L140" i="1"/>
  <c r="L139" i="1"/>
  <c r="L136" i="1"/>
  <c r="L135" i="1"/>
  <c r="L134" i="1"/>
  <c r="L133" i="1"/>
  <c r="L120" i="1"/>
  <c r="L116" i="1"/>
  <c r="L114" i="1"/>
  <c r="L112" i="1"/>
  <c r="L109" i="1"/>
  <c r="L108" i="1"/>
  <c r="L107" i="1"/>
  <c r="L106" i="1"/>
  <c r="L102" i="1"/>
  <c r="L101" i="1"/>
  <c r="L100" i="1"/>
  <c r="L99" i="1"/>
  <c r="L95" i="1"/>
  <c r="L94" i="1"/>
  <c r="L93" i="1"/>
  <c r="L92" i="1"/>
  <c r="L91" i="1"/>
  <c r="L90" i="1"/>
  <c r="L89" i="1"/>
  <c r="L80" i="1"/>
  <c r="L79" i="1"/>
  <c r="L78" i="1"/>
  <c r="L77" i="1"/>
  <c r="L76" i="1"/>
  <c r="L74" i="1"/>
  <c r="L72" i="1"/>
  <c r="L70" i="1"/>
  <c r="L68" i="1"/>
  <c r="L63" i="1"/>
  <c r="L62" i="1"/>
  <c r="L61" i="1"/>
  <c r="L60" i="1"/>
  <c r="L59" i="1"/>
  <c r="L58" i="1"/>
  <c r="L55" i="1"/>
  <c r="L54" i="1"/>
  <c r="L53" i="1"/>
  <c r="L52" i="1"/>
  <c r="L47" i="1"/>
  <c r="L46" i="1"/>
  <c r="L45" i="1"/>
  <c r="L44" i="1"/>
  <c r="L43" i="1"/>
  <c r="L42" i="1"/>
  <c r="L41" i="1"/>
  <c r="L40" i="1"/>
  <c r="C516" i="17"/>
  <c r="C513" i="17"/>
  <c r="A39" i="19"/>
  <c r="A34" i="19"/>
  <c r="M22" i="18"/>
  <c r="M26" i="18" s="1"/>
  <c r="A19" i="18"/>
  <c r="L257" i="1" l="1"/>
  <c r="L48" i="1"/>
  <c r="C133" i="3"/>
  <c r="N245" i="1"/>
  <c r="D133" i="3" s="1"/>
  <c r="M30" i="18"/>
  <c r="O245" i="1" l="1"/>
  <c r="A506" i="17"/>
  <c r="A505" i="17"/>
  <c r="A503" i="17"/>
  <c r="A457" i="17"/>
  <c r="A458" i="17" s="1"/>
  <c r="A441" i="17"/>
  <c r="A431" i="17"/>
  <c r="A370" i="17"/>
  <c r="C509" i="17"/>
  <c r="C496" i="17"/>
  <c r="C492" i="17"/>
  <c r="C486" i="17"/>
  <c r="C471" i="17"/>
  <c r="C468" i="17"/>
  <c r="C464" i="17"/>
  <c r="C436" i="17"/>
  <c r="C423" i="17"/>
  <c r="C424" i="17"/>
  <c r="C425" i="17"/>
  <c r="B416" i="17"/>
  <c r="C199" i="17"/>
  <c r="C143" i="17"/>
  <c r="C117" i="17"/>
  <c r="C78" i="17"/>
  <c r="C68" i="17"/>
  <c r="C66" i="17"/>
  <c r="C55" i="17"/>
  <c r="C49" i="17"/>
  <c r="C42" i="17"/>
  <c r="C34" i="17"/>
  <c r="C27" i="17"/>
  <c r="C19" i="17"/>
  <c r="B479" i="17"/>
  <c r="C57" i="17"/>
  <c r="C58" i="17"/>
  <c r="C59" i="17"/>
  <c r="B17" i="16" l="1"/>
  <c r="B16" i="16"/>
  <c r="B23" i="16"/>
  <c r="A26" i="16" s="1"/>
  <c r="B20" i="16"/>
  <c r="B22" i="16" s="1"/>
  <c r="B19" i="16"/>
  <c r="B18" i="16"/>
  <c r="A30" i="14" l="1"/>
  <c r="A27" i="14"/>
  <c r="A22" i="14"/>
  <c r="A19" i="14"/>
  <c r="A16" i="14"/>
  <c r="A13" i="14"/>
  <c r="A37" i="13"/>
  <c r="A283" i="12"/>
  <c r="A277" i="12"/>
  <c r="A244" i="12"/>
  <c r="A185" i="12"/>
  <c r="A180" i="12"/>
  <c r="A175" i="11" l="1"/>
  <c r="G63" i="1" l="1"/>
  <c r="A65" i="10"/>
  <c r="A66" i="10"/>
  <c r="A28" i="10"/>
  <c r="A29" i="10"/>
  <c r="E67" i="10"/>
  <c r="D67" i="10"/>
  <c r="D70" i="10" s="1"/>
  <c r="E56" i="10" l="1"/>
  <c r="D56" i="10"/>
  <c r="E70" i="10"/>
  <c r="D71" i="10" l="1"/>
  <c r="D328" i="4" l="1"/>
  <c r="D329" i="4"/>
  <c r="D330" i="4"/>
  <c r="D331" i="4"/>
  <c r="D332" i="4"/>
  <c r="D333" i="4"/>
  <c r="D334" i="4"/>
  <c r="D335" i="4"/>
  <c r="D336" i="4"/>
  <c r="G282" i="4"/>
  <c r="G283" i="4"/>
  <c r="G284" i="4"/>
  <c r="G285" i="4"/>
  <c r="G286" i="4"/>
  <c r="G287" i="4"/>
  <c r="G288" i="4"/>
  <c r="G289" i="4"/>
  <c r="G290" i="4"/>
  <c r="G291" i="4"/>
  <c r="G292" i="4"/>
  <c r="G293" i="4"/>
  <c r="G294" i="4"/>
  <c r="G295" i="4"/>
  <c r="G296" i="4"/>
  <c r="G297" i="4"/>
  <c r="G298" i="4"/>
  <c r="G299" i="4"/>
  <c r="G300" i="4"/>
  <c r="G301" i="4"/>
  <c r="G234" i="4"/>
  <c r="G235" i="4"/>
  <c r="G236" i="4"/>
  <c r="G237" i="4"/>
  <c r="G238" i="4"/>
  <c r="G239" i="4"/>
  <c r="G240" i="4"/>
  <c r="G241" i="4"/>
  <c r="G242" i="4"/>
  <c r="G243" i="4"/>
  <c r="G244" i="4"/>
  <c r="G245" i="4"/>
  <c r="G246" i="4"/>
  <c r="G247" i="4"/>
  <c r="G248" i="4"/>
  <c r="G249" i="4"/>
  <c r="G250" i="4"/>
  <c r="G251" i="4"/>
  <c r="G252" i="4"/>
  <c r="G253" i="4"/>
  <c r="G186" i="4"/>
  <c r="G187" i="4"/>
  <c r="G188" i="4"/>
  <c r="G189" i="4"/>
  <c r="G190" i="4"/>
  <c r="G191" i="4"/>
  <c r="G192" i="4"/>
  <c r="G193" i="4"/>
  <c r="G194" i="4"/>
  <c r="G195" i="4"/>
  <c r="G196" i="4"/>
  <c r="G197" i="4"/>
  <c r="G198" i="4"/>
  <c r="G199" i="4"/>
  <c r="G200" i="4"/>
  <c r="G201" i="4"/>
  <c r="G202" i="4"/>
  <c r="G203" i="4"/>
  <c r="G204" i="4"/>
  <c r="G205" i="4"/>
  <c r="E206" i="4"/>
  <c r="G161" i="4"/>
  <c r="G162" i="4"/>
  <c r="G163" i="4"/>
  <c r="G164" i="4"/>
  <c r="G165" i="4"/>
  <c r="G166" i="4"/>
  <c r="G167" i="4"/>
  <c r="G168" i="4"/>
  <c r="G169" i="4"/>
  <c r="G170" i="4"/>
  <c r="G171" i="4"/>
  <c r="G172" i="4"/>
  <c r="G173" i="4"/>
  <c r="G174" i="4"/>
  <c r="G175" i="4"/>
  <c r="G176" i="4"/>
  <c r="G177" i="4"/>
  <c r="G178" i="4"/>
  <c r="G179" i="4"/>
  <c r="G180" i="4"/>
  <c r="H312" i="4"/>
  <c r="H309" i="4"/>
  <c r="H94" i="4"/>
  <c r="H64" i="4"/>
  <c r="F328" i="4"/>
  <c r="F329" i="4"/>
  <c r="F330" i="4"/>
  <c r="F331" i="4"/>
  <c r="F332" i="4"/>
  <c r="F333" i="4"/>
  <c r="F334" i="4"/>
  <c r="F335" i="4"/>
  <c r="F336" i="4"/>
  <c r="H131" i="4"/>
  <c r="B55" i="3"/>
  <c r="E20" i="3"/>
  <c r="E19" i="3"/>
  <c r="A10" i="1" l="1"/>
  <c r="M112" i="1" l="1"/>
  <c r="N112" i="1" l="1"/>
  <c r="D55" i="3" s="1"/>
  <c r="C55" i="3"/>
  <c r="FZ344" i="2"/>
  <c r="FX344" i="2"/>
  <c r="FT344" i="2"/>
  <c r="FR344" i="2"/>
  <c r="FN344" i="2"/>
  <c r="FL344" i="2"/>
  <c r="FH344" i="2"/>
  <c r="FF344" i="2"/>
  <c r="FD344" i="2"/>
  <c r="FB344" i="2"/>
  <c r="ER344" i="2"/>
  <c r="EP344" i="2"/>
  <c r="EL344" i="2"/>
  <c r="EJ344" i="2"/>
  <c r="EF344" i="2"/>
  <c r="ED344" i="2"/>
  <c r="EB344" i="2"/>
  <c r="DX344" i="2"/>
  <c r="DV344" i="2"/>
  <c r="DT344" i="2"/>
  <c r="DP344" i="2"/>
  <c r="DN344" i="2"/>
  <c r="DJ344" i="2"/>
  <c r="DH344" i="2"/>
  <c r="DD344" i="2"/>
  <c r="DB344" i="2"/>
  <c r="CX344" i="2"/>
  <c r="CV344" i="2"/>
  <c r="CR344" i="2"/>
  <c r="CP344" i="2"/>
  <c r="CL344" i="2"/>
  <c r="CJ344" i="2"/>
  <c r="CF344" i="2"/>
  <c r="CD344" i="2"/>
  <c r="CB344" i="2"/>
  <c r="BZ344" i="2"/>
  <c r="BW344" i="2"/>
  <c r="BS344" i="2"/>
  <c r="BQ344" i="2"/>
  <c r="BO344" i="2"/>
  <c r="BK344" i="2"/>
  <c r="BI344" i="2"/>
  <c r="BE344" i="2"/>
  <c r="BC344" i="2"/>
  <c r="AY344" i="2"/>
  <c r="AW344" i="2"/>
  <c r="AS344" i="2"/>
  <c r="AQ344" i="2"/>
  <c r="AM344" i="2"/>
  <c r="AK344" i="2"/>
  <c r="AI344" i="2"/>
  <c r="AE344" i="2"/>
  <c r="AC344" i="2"/>
  <c r="Y344" i="2"/>
  <c r="W344" i="2"/>
  <c r="S344" i="2"/>
  <c r="Q344" i="2"/>
  <c r="M344" i="2"/>
  <c r="K344" i="2"/>
  <c r="GB343" i="2"/>
  <c r="FV343" i="2"/>
  <c r="FP343" i="2"/>
  <c r="FJ343" i="2"/>
  <c r="EZ343" i="2"/>
  <c r="ET343" i="2"/>
  <c r="EN343" i="2"/>
  <c r="EH343" i="2"/>
  <c r="DZ343" i="2"/>
  <c r="DR343" i="2"/>
  <c r="DL343" i="2"/>
  <c r="DF343" i="2"/>
  <c r="CZ343" i="2"/>
  <c r="CT343" i="2"/>
  <c r="CN343" i="2"/>
  <c r="CH343" i="2"/>
  <c r="BU343" i="2"/>
  <c r="BM343" i="2"/>
  <c r="BG343" i="2"/>
  <c r="BA343" i="2"/>
  <c r="AU343" i="2"/>
  <c r="AO343" i="2"/>
  <c r="AG343" i="2"/>
  <c r="AA343" i="2"/>
  <c r="U343" i="2"/>
  <c r="O343" i="2"/>
  <c r="GB342" i="2"/>
  <c r="FV342" i="2"/>
  <c r="FP342" i="2"/>
  <c r="FJ342" i="2"/>
  <c r="EZ342" i="2"/>
  <c r="ET342" i="2"/>
  <c r="EN342" i="2"/>
  <c r="EH342" i="2"/>
  <c r="DZ342" i="2"/>
  <c r="DR342" i="2"/>
  <c r="DL342" i="2"/>
  <c r="DF342" i="2"/>
  <c r="CZ342" i="2"/>
  <c r="CT342" i="2"/>
  <c r="CN342" i="2"/>
  <c r="CH342" i="2"/>
  <c r="BU342" i="2"/>
  <c r="BM342" i="2"/>
  <c r="BG342" i="2"/>
  <c r="BA342" i="2"/>
  <c r="AU342" i="2"/>
  <c r="AO342" i="2"/>
  <c r="AG342" i="2"/>
  <c r="AA342" i="2"/>
  <c r="U342" i="2"/>
  <c r="O342" i="2"/>
  <c r="GB341" i="2"/>
  <c r="FV341" i="2"/>
  <c r="FP341" i="2"/>
  <c r="FJ341" i="2"/>
  <c r="EZ341" i="2"/>
  <c r="ET341" i="2"/>
  <c r="EN341" i="2"/>
  <c r="EH341" i="2"/>
  <c r="DZ341" i="2"/>
  <c r="DR341" i="2"/>
  <c r="DL341" i="2"/>
  <c r="DF341" i="2"/>
  <c r="CZ341" i="2"/>
  <c r="CT341" i="2"/>
  <c r="CN341" i="2"/>
  <c r="CH341" i="2"/>
  <c r="BU341" i="2"/>
  <c r="BM341" i="2"/>
  <c r="BG341" i="2"/>
  <c r="BA341" i="2"/>
  <c r="AU341" i="2"/>
  <c r="AO341" i="2"/>
  <c r="AG341" i="2"/>
  <c r="AA341" i="2"/>
  <c r="U341" i="2"/>
  <c r="O341" i="2"/>
  <c r="GB340" i="2"/>
  <c r="FV340" i="2"/>
  <c r="FP340" i="2"/>
  <c r="FJ340" i="2"/>
  <c r="EZ340" i="2"/>
  <c r="ET340" i="2"/>
  <c r="EN340" i="2"/>
  <c r="EH340" i="2"/>
  <c r="DZ340" i="2"/>
  <c r="DR340" i="2"/>
  <c r="DL340" i="2"/>
  <c r="DF340" i="2"/>
  <c r="CZ340" i="2"/>
  <c r="CT340" i="2"/>
  <c r="CN340" i="2"/>
  <c r="CH340" i="2"/>
  <c r="BU340" i="2"/>
  <c r="BM340" i="2"/>
  <c r="BG340" i="2"/>
  <c r="BA340" i="2"/>
  <c r="AU340" i="2"/>
  <c r="AO340" i="2"/>
  <c r="AG340" i="2"/>
  <c r="AA340" i="2"/>
  <c r="U340" i="2"/>
  <c r="O340" i="2"/>
  <c r="GB339" i="2"/>
  <c r="FV339" i="2"/>
  <c r="FP339" i="2"/>
  <c r="FJ339" i="2"/>
  <c r="EV339" i="2"/>
  <c r="EZ339" i="2" s="1"/>
  <c r="ET339" i="2"/>
  <c r="EN339" i="2"/>
  <c r="EH339" i="2"/>
  <c r="DZ339" i="2"/>
  <c r="DR339" i="2"/>
  <c r="DL339" i="2"/>
  <c r="DF339" i="2"/>
  <c r="CZ339" i="2"/>
  <c r="CT339" i="2"/>
  <c r="CN339" i="2"/>
  <c r="CH339" i="2"/>
  <c r="BU339" i="2"/>
  <c r="BM339" i="2"/>
  <c r="BG339" i="2"/>
  <c r="BA339" i="2"/>
  <c r="AU339" i="2"/>
  <c r="AO339" i="2"/>
  <c r="AG339" i="2"/>
  <c r="AA339" i="2"/>
  <c r="U339" i="2"/>
  <c r="O339" i="2"/>
  <c r="GB338" i="2"/>
  <c r="FV338" i="2"/>
  <c r="FP338" i="2"/>
  <c r="FJ338" i="2"/>
  <c r="EV338" i="2"/>
  <c r="EZ338" i="2" s="1"/>
  <c r="ET338" i="2"/>
  <c r="EN338" i="2"/>
  <c r="EH338" i="2"/>
  <c r="DZ338" i="2"/>
  <c r="DR338" i="2"/>
  <c r="DL338" i="2"/>
  <c r="DF338" i="2"/>
  <c r="CZ338" i="2"/>
  <c r="CT338" i="2"/>
  <c r="CN338" i="2"/>
  <c r="CH338" i="2"/>
  <c r="BU338" i="2"/>
  <c r="BM338" i="2"/>
  <c r="BG338" i="2"/>
  <c r="BA338" i="2"/>
  <c r="AU338" i="2"/>
  <c r="AO338" i="2"/>
  <c r="AG338" i="2"/>
  <c r="AA338" i="2"/>
  <c r="U338" i="2"/>
  <c r="O338" i="2"/>
  <c r="GK337" i="2"/>
  <c r="GB337" i="2"/>
  <c r="FV337" i="2"/>
  <c r="FP337" i="2"/>
  <c r="FJ337" i="2"/>
  <c r="EX337" i="2"/>
  <c r="EV337" i="2"/>
  <c r="ET337" i="2"/>
  <c r="EN337" i="2"/>
  <c r="EH337" i="2"/>
  <c r="DZ337" i="2"/>
  <c r="DR337" i="2"/>
  <c r="DL337" i="2"/>
  <c r="DF337" i="2"/>
  <c r="CZ337" i="2"/>
  <c r="CT337" i="2"/>
  <c r="CN337" i="2"/>
  <c r="CH337" i="2"/>
  <c r="BU337" i="2"/>
  <c r="BM337" i="2"/>
  <c r="BG337" i="2"/>
  <c r="BA337" i="2"/>
  <c r="AU337" i="2"/>
  <c r="AO337" i="2"/>
  <c r="AG337" i="2"/>
  <c r="AA337" i="2"/>
  <c r="U337" i="2"/>
  <c r="O337" i="2"/>
  <c r="GK336" i="2"/>
  <c r="GB336" i="2"/>
  <c r="FV336" i="2"/>
  <c r="FP336" i="2"/>
  <c r="FJ336" i="2"/>
  <c r="EX336" i="2"/>
  <c r="EV336" i="2"/>
  <c r="ET336" i="2"/>
  <c r="EN336" i="2"/>
  <c r="EH336" i="2"/>
  <c r="DZ336" i="2"/>
  <c r="DR336" i="2"/>
  <c r="DL336" i="2"/>
  <c r="DF336" i="2"/>
  <c r="CZ336" i="2"/>
  <c r="CT336" i="2"/>
  <c r="CN336" i="2"/>
  <c r="CH336" i="2"/>
  <c r="BU336" i="2"/>
  <c r="BM336" i="2"/>
  <c r="BG336" i="2"/>
  <c r="BA336" i="2"/>
  <c r="AU336" i="2"/>
  <c r="AO336" i="2"/>
  <c r="AG336" i="2"/>
  <c r="AA336" i="2"/>
  <c r="U336" i="2"/>
  <c r="O336" i="2"/>
  <c r="GK335" i="2"/>
  <c r="GB335" i="2"/>
  <c r="FV335" i="2"/>
  <c r="FP335" i="2"/>
  <c r="FJ335" i="2"/>
  <c r="EX335" i="2"/>
  <c r="EZ335" i="2" s="1"/>
  <c r="EV335" i="2"/>
  <c r="ET335" i="2"/>
  <c r="EN335" i="2"/>
  <c r="EH335" i="2"/>
  <c r="DZ335" i="2"/>
  <c r="DR335" i="2"/>
  <c r="DL335" i="2"/>
  <c r="DF335" i="2"/>
  <c r="CZ335" i="2"/>
  <c r="CT335" i="2"/>
  <c r="CN335" i="2"/>
  <c r="CH335" i="2"/>
  <c r="BU335" i="2"/>
  <c r="BM335" i="2"/>
  <c r="BG335" i="2"/>
  <c r="BA335" i="2"/>
  <c r="AU335" i="2"/>
  <c r="AO335" i="2"/>
  <c r="AG335" i="2"/>
  <c r="AA335" i="2"/>
  <c r="U335" i="2"/>
  <c r="O335" i="2"/>
  <c r="GB334" i="2"/>
  <c r="FV334" i="2"/>
  <c r="FP334" i="2"/>
  <c r="FJ334" i="2"/>
  <c r="EX334" i="2"/>
  <c r="EV334" i="2"/>
  <c r="ET334" i="2"/>
  <c r="EN334" i="2"/>
  <c r="EH334" i="2"/>
  <c r="DZ334" i="2"/>
  <c r="DR334" i="2"/>
  <c r="DL334" i="2"/>
  <c r="DF334" i="2"/>
  <c r="CZ334" i="2"/>
  <c r="CT334" i="2"/>
  <c r="CN334" i="2"/>
  <c r="CH334" i="2"/>
  <c r="BU334" i="2"/>
  <c r="BM334" i="2"/>
  <c r="BG334" i="2"/>
  <c r="BA334" i="2"/>
  <c r="AU334" i="2"/>
  <c r="AO334" i="2"/>
  <c r="AG334" i="2"/>
  <c r="AA334" i="2"/>
  <c r="U334" i="2"/>
  <c r="O334" i="2"/>
  <c r="GB333" i="2"/>
  <c r="FV333" i="2"/>
  <c r="FP333" i="2"/>
  <c r="FJ333" i="2"/>
  <c r="EX333" i="2"/>
  <c r="EV333" i="2"/>
  <c r="ET333" i="2"/>
  <c r="EN333" i="2"/>
  <c r="EH333" i="2"/>
  <c r="DZ333" i="2"/>
  <c r="DR333" i="2"/>
  <c r="DL333" i="2"/>
  <c r="DF333" i="2"/>
  <c r="CZ333" i="2"/>
  <c r="CT333" i="2"/>
  <c r="CN333" i="2"/>
  <c r="CH333" i="2"/>
  <c r="BU333" i="2"/>
  <c r="BM333" i="2"/>
  <c r="BG333" i="2"/>
  <c r="BA333" i="2"/>
  <c r="AU333" i="2"/>
  <c r="AO333" i="2"/>
  <c r="AG333" i="2"/>
  <c r="AA333" i="2"/>
  <c r="U333" i="2"/>
  <c r="O333" i="2"/>
  <c r="GB332" i="2"/>
  <c r="FV332" i="2"/>
  <c r="FP332" i="2"/>
  <c r="FJ332" i="2"/>
  <c r="EX332" i="2"/>
  <c r="EV332" i="2"/>
  <c r="ET332" i="2"/>
  <c r="EN332" i="2"/>
  <c r="EH332" i="2"/>
  <c r="DZ332" i="2"/>
  <c r="DR332" i="2"/>
  <c r="DL332" i="2"/>
  <c r="DF332" i="2"/>
  <c r="CZ332" i="2"/>
  <c r="CT332" i="2"/>
  <c r="CN332" i="2"/>
  <c r="CH332" i="2"/>
  <c r="BU332" i="2"/>
  <c r="BM332" i="2"/>
  <c r="BG332" i="2"/>
  <c r="BA332" i="2"/>
  <c r="AU332" i="2"/>
  <c r="AO332" i="2"/>
  <c r="AG332" i="2"/>
  <c r="AA332" i="2"/>
  <c r="U332" i="2"/>
  <c r="O332" i="2"/>
  <c r="GB331" i="2"/>
  <c r="FV331" i="2"/>
  <c r="FP331" i="2"/>
  <c r="FJ331" i="2"/>
  <c r="EX331" i="2"/>
  <c r="EZ331" i="2" s="1"/>
  <c r="EV331" i="2"/>
  <c r="ET331" i="2"/>
  <c r="EN331" i="2"/>
  <c r="EH331" i="2"/>
  <c r="DZ331" i="2"/>
  <c r="DR331" i="2"/>
  <c r="DL331" i="2"/>
  <c r="DF331" i="2"/>
  <c r="CZ331" i="2"/>
  <c r="CT331" i="2"/>
  <c r="CN331" i="2"/>
  <c r="CH331" i="2"/>
  <c r="BU331" i="2"/>
  <c r="BM331" i="2"/>
  <c r="BG331" i="2"/>
  <c r="BA331" i="2"/>
  <c r="AU331" i="2"/>
  <c r="AO331" i="2"/>
  <c r="AG331" i="2"/>
  <c r="AA331" i="2"/>
  <c r="U331" i="2"/>
  <c r="O331" i="2"/>
  <c r="GB330" i="2"/>
  <c r="FV330" i="2"/>
  <c r="FP330" i="2"/>
  <c r="FJ330" i="2"/>
  <c r="EX330" i="2"/>
  <c r="EV330" i="2"/>
  <c r="EZ330" i="2" s="1"/>
  <c r="ET330" i="2"/>
  <c r="EN330" i="2"/>
  <c r="EH330" i="2"/>
  <c r="DZ330" i="2"/>
  <c r="DR330" i="2"/>
  <c r="DL330" i="2"/>
  <c r="DF330" i="2"/>
  <c r="CZ330" i="2"/>
  <c r="CT330" i="2"/>
  <c r="CN330" i="2"/>
  <c r="CH330" i="2"/>
  <c r="BU330" i="2"/>
  <c r="BM330" i="2"/>
  <c r="BG330" i="2"/>
  <c r="BA330" i="2"/>
  <c r="AU330" i="2"/>
  <c r="AO330" i="2"/>
  <c r="AG330" i="2"/>
  <c r="AA330" i="2"/>
  <c r="U330" i="2"/>
  <c r="O330" i="2"/>
  <c r="GB329" i="2"/>
  <c r="FV329" i="2"/>
  <c r="FP329" i="2"/>
  <c r="FJ329" i="2"/>
  <c r="EX329" i="2"/>
  <c r="EV329" i="2"/>
  <c r="EZ329" i="2" s="1"/>
  <c r="ET329" i="2"/>
  <c r="EN329" i="2"/>
  <c r="EH329" i="2"/>
  <c r="DZ329" i="2"/>
  <c r="DR329" i="2"/>
  <c r="DL329" i="2"/>
  <c r="DF329" i="2"/>
  <c r="CZ329" i="2"/>
  <c r="CT329" i="2"/>
  <c r="CN329" i="2"/>
  <c r="CH329" i="2"/>
  <c r="BU329" i="2"/>
  <c r="BM329" i="2"/>
  <c r="BG329" i="2"/>
  <c r="BA329" i="2"/>
  <c r="AU329" i="2"/>
  <c r="AO329" i="2"/>
  <c r="AG329" i="2"/>
  <c r="AA329" i="2"/>
  <c r="U329" i="2"/>
  <c r="O329" i="2"/>
  <c r="GB328" i="2"/>
  <c r="FV328" i="2"/>
  <c r="FP328" i="2"/>
  <c r="FJ328" i="2"/>
  <c r="EX328" i="2"/>
  <c r="EV328" i="2"/>
  <c r="EZ328" i="2" s="1"/>
  <c r="ET328" i="2"/>
  <c r="EN328" i="2"/>
  <c r="EH328" i="2"/>
  <c r="DZ328" i="2"/>
  <c r="DR328" i="2"/>
  <c r="DL328" i="2"/>
  <c r="DF328" i="2"/>
  <c r="CZ328" i="2"/>
  <c r="CT328" i="2"/>
  <c r="CN328" i="2"/>
  <c r="CH328" i="2"/>
  <c r="BU328" i="2"/>
  <c r="BM328" i="2"/>
  <c r="BG328" i="2"/>
  <c r="BA328" i="2"/>
  <c r="AU328" i="2"/>
  <c r="AO328" i="2"/>
  <c r="AG328" i="2"/>
  <c r="AA328" i="2"/>
  <c r="U328" i="2"/>
  <c r="O328" i="2"/>
  <c r="GB327" i="2"/>
  <c r="FV327" i="2"/>
  <c r="FP327" i="2"/>
  <c r="FJ327" i="2"/>
  <c r="EX327" i="2"/>
  <c r="EV327" i="2"/>
  <c r="ET327" i="2"/>
  <c r="EN327" i="2"/>
  <c r="EH327" i="2"/>
  <c r="DZ327" i="2"/>
  <c r="DR327" i="2"/>
  <c r="DL327" i="2"/>
  <c r="DF327" i="2"/>
  <c r="CZ327" i="2"/>
  <c r="CT327" i="2"/>
  <c r="CN327" i="2"/>
  <c r="CH327" i="2"/>
  <c r="BU327" i="2"/>
  <c r="BM327" i="2"/>
  <c r="BG327" i="2"/>
  <c r="BA327" i="2"/>
  <c r="AU327" i="2"/>
  <c r="AO327" i="2"/>
  <c r="AG327" i="2"/>
  <c r="AA327" i="2"/>
  <c r="U327" i="2"/>
  <c r="O327" i="2"/>
  <c r="BH320" i="2"/>
  <c r="FE316" i="2"/>
  <c r="FC316" i="2"/>
  <c r="EC316" i="2"/>
  <c r="DU316" i="2"/>
  <c r="CC316" i="2"/>
  <c r="CA316" i="2"/>
  <c r="BY316" i="2"/>
  <c r="BX316" i="2"/>
  <c r="BP316" i="2"/>
  <c r="AJ316" i="2"/>
  <c r="FZ314" i="2"/>
  <c r="FX314" i="2"/>
  <c r="FT314" i="2"/>
  <c r="FR314" i="2"/>
  <c r="FN314" i="2"/>
  <c r="FL314" i="2"/>
  <c r="FH314" i="2"/>
  <c r="FF314" i="2"/>
  <c r="FD314" i="2"/>
  <c r="FB314" i="2"/>
  <c r="EX314" i="2"/>
  <c r="EV314" i="2"/>
  <c r="ER314" i="2"/>
  <c r="EP314" i="2"/>
  <c r="EL314" i="2"/>
  <c r="EJ314" i="2"/>
  <c r="EF314" i="2"/>
  <c r="ED314" i="2"/>
  <c r="EB314" i="2"/>
  <c r="DX314" i="2"/>
  <c r="DV314" i="2"/>
  <c r="DT314" i="2"/>
  <c r="DP314" i="2"/>
  <c r="DN314" i="2"/>
  <c r="DJ314" i="2"/>
  <c r="DH314" i="2"/>
  <c r="DD314" i="2"/>
  <c r="DB314" i="2"/>
  <c r="CX314" i="2"/>
  <c r="CV314" i="2"/>
  <c r="CR314" i="2"/>
  <c r="CP314" i="2"/>
  <c r="CL314" i="2"/>
  <c r="CJ314" i="2"/>
  <c r="CF314" i="2"/>
  <c r="CD314" i="2"/>
  <c r="CB314" i="2"/>
  <c r="BZ314" i="2"/>
  <c r="BW314" i="2"/>
  <c r="BS314" i="2"/>
  <c r="BQ314" i="2"/>
  <c r="BO314" i="2"/>
  <c r="BK314" i="2"/>
  <c r="BI314" i="2"/>
  <c r="BE314" i="2"/>
  <c r="BC314" i="2"/>
  <c r="AY314" i="2"/>
  <c r="AW314" i="2"/>
  <c r="AS314" i="2"/>
  <c r="AQ314" i="2"/>
  <c r="AM314" i="2"/>
  <c r="AK314" i="2"/>
  <c r="AI314" i="2"/>
  <c r="AE314" i="2"/>
  <c r="AC314" i="2"/>
  <c r="Y314" i="2"/>
  <c r="W314" i="2"/>
  <c r="S314" i="2"/>
  <c r="Q314" i="2"/>
  <c r="M314" i="2"/>
  <c r="K314" i="2"/>
  <c r="GB312" i="2"/>
  <c r="FV312" i="2"/>
  <c r="FP312" i="2"/>
  <c r="FJ312" i="2"/>
  <c r="EZ312" i="2"/>
  <c r="ET312" i="2"/>
  <c r="EN312" i="2"/>
  <c r="EH312" i="2"/>
  <c r="DZ312" i="2"/>
  <c r="DR312" i="2"/>
  <c r="DL312" i="2"/>
  <c r="DF312" i="2"/>
  <c r="CZ312" i="2"/>
  <c r="CT312" i="2"/>
  <c r="CN312" i="2"/>
  <c r="CH312" i="2"/>
  <c r="BU312" i="2"/>
  <c r="BM312" i="2"/>
  <c r="BG312" i="2"/>
  <c r="BA312" i="2"/>
  <c r="AU312" i="2"/>
  <c r="AO312" i="2"/>
  <c r="AG312" i="2"/>
  <c r="AA312" i="2"/>
  <c r="U312" i="2"/>
  <c r="O312" i="2"/>
  <c r="GB311" i="2"/>
  <c r="FV311" i="2"/>
  <c r="FP311" i="2"/>
  <c r="FJ311" i="2"/>
  <c r="EZ311" i="2"/>
  <c r="ET311" i="2"/>
  <c r="EN311" i="2"/>
  <c r="EH311" i="2"/>
  <c r="DZ311" i="2"/>
  <c r="DR311" i="2"/>
  <c r="DL311" i="2"/>
  <c r="DF311" i="2"/>
  <c r="CZ311" i="2"/>
  <c r="CT311" i="2"/>
  <c r="CN311" i="2"/>
  <c r="CH311" i="2"/>
  <c r="BU311" i="2"/>
  <c r="BM311" i="2"/>
  <c r="BG311" i="2"/>
  <c r="BA311" i="2"/>
  <c r="AU311" i="2"/>
  <c r="AO311" i="2"/>
  <c r="AG311" i="2"/>
  <c r="AA311" i="2"/>
  <c r="U311" i="2"/>
  <c r="O311" i="2"/>
  <c r="GB310" i="2"/>
  <c r="FV310" i="2"/>
  <c r="FP310" i="2"/>
  <c r="FJ310" i="2"/>
  <c r="EZ310" i="2"/>
  <c r="ET310" i="2"/>
  <c r="EN310" i="2"/>
  <c r="EH310" i="2"/>
  <c r="DZ310" i="2"/>
  <c r="DR310" i="2"/>
  <c r="DL310" i="2"/>
  <c r="DF310" i="2"/>
  <c r="CZ310" i="2"/>
  <c r="CT310" i="2"/>
  <c r="CN310" i="2"/>
  <c r="CH310" i="2"/>
  <c r="BU310" i="2"/>
  <c r="BM310" i="2"/>
  <c r="BG310" i="2"/>
  <c r="BA310" i="2"/>
  <c r="AU310" i="2"/>
  <c r="AO310" i="2"/>
  <c r="AG310" i="2"/>
  <c r="AA310" i="2"/>
  <c r="U310" i="2"/>
  <c r="O310" i="2"/>
  <c r="GB309" i="2"/>
  <c r="FV309" i="2"/>
  <c r="FP309" i="2"/>
  <c r="FJ309" i="2"/>
  <c r="EZ309" i="2"/>
  <c r="ET309" i="2"/>
  <c r="EN309" i="2"/>
  <c r="EH309" i="2"/>
  <c r="DZ309" i="2"/>
  <c r="DR309" i="2"/>
  <c r="DL309" i="2"/>
  <c r="DF309" i="2"/>
  <c r="CZ309" i="2"/>
  <c r="CT309" i="2"/>
  <c r="CN309" i="2"/>
  <c r="CH309" i="2"/>
  <c r="BU309" i="2"/>
  <c r="BM309" i="2"/>
  <c r="BG309" i="2"/>
  <c r="BA309" i="2"/>
  <c r="AU309" i="2"/>
  <c r="AO309" i="2"/>
  <c r="AG309" i="2"/>
  <c r="AA309" i="2"/>
  <c r="U309" i="2"/>
  <c r="O309" i="2"/>
  <c r="GB308" i="2"/>
  <c r="FV308" i="2"/>
  <c r="FP308" i="2"/>
  <c r="FJ308" i="2"/>
  <c r="EZ308" i="2"/>
  <c r="ET308" i="2"/>
  <c r="EN308" i="2"/>
  <c r="EH308" i="2"/>
  <c r="DZ308" i="2"/>
  <c r="DR308" i="2"/>
  <c r="DL308" i="2"/>
  <c r="DF308" i="2"/>
  <c r="CZ308" i="2"/>
  <c r="CT308" i="2"/>
  <c r="CN308" i="2"/>
  <c r="CH308" i="2"/>
  <c r="BU308" i="2"/>
  <c r="BM308" i="2"/>
  <c r="BG308" i="2"/>
  <c r="BA308" i="2"/>
  <c r="AU308" i="2"/>
  <c r="AO308" i="2"/>
  <c r="AG308" i="2"/>
  <c r="AA308" i="2"/>
  <c r="U308" i="2"/>
  <c r="O308" i="2"/>
  <c r="GB307" i="2"/>
  <c r="FV307" i="2"/>
  <c r="FP307" i="2"/>
  <c r="FJ307" i="2"/>
  <c r="EZ307" i="2"/>
  <c r="ET307" i="2"/>
  <c r="EN307" i="2"/>
  <c r="EH307" i="2"/>
  <c r="DZ307" i="2"/>
  <c r="DR307" i="2"/>
  <c r="DL307" i="2"/>
  <c r="DF307" i="2"/>
  <c r="CZ307" i="2"/>
  <c r="CT307" i="2"/>
  <c r="CN307" i="2"/>
  <c r="CH307" i="2"/>
  <c r="BU307" i="2"/>
  <c r="BM307" i="2"/>
  <c r="BG307" i="2"/>
  <c r="BA307" i="2"/>
  <c r="AU307" i="2"/>
  <c r="AO307" i="2"/>
  <c r="AG307" i="2"/>
  <c r="AA307" i="2"/>
  <c r="U307" i="2"/>
  <c r="O307" i="2"/>
  <c r="GB306" i="2"/>
  <c r="FV306" i="2"/>
  <c r="FP306" i="2"/>
  <c r="FJ306" i="2"/>
  <c r="EZ306" i="2"/>
  <c r="ET306" i="2"/>
  <c r="EN306" i="2"/>
  <c r="EH306" i="2"/>
  <c r="DZ306" i="2"/>
  <c r="DR306" i="2"/>
  <c r="DL306" i="2"/>
  <c r="DF306" i="2"/>
  <c r="CZ306" i="2"/>
  <c r="CT306" i="2"/>
  <c r="CN306" i="2"/>
  <c r="CH306" i="2"/>
  <c r="BU306" i="2"/>
  <c r="BM306" i="2"/>
  <c r="BG306" i="2"/>
  <c r="BA306" i="2"/>
  <c r="AU306" i="2"/>
  <c r="AO306" i="2"/>
  <c r="AG306" i="2"/>
  <c r="AA306" i="2"/>
  <c r="U306" i="2"/>
  <c r="O306" i="2"/>
  <c r="FZ302" i="2"/>
  <c r="FX302" i="2"/>
  <c r="FT302" i="2"/>
  <c r="FR302" i="2"/>
  <c r="FN302" i="2"/>
  <c r="FL302" i="2"/>
  <c r="FL316" i="2" s="1"/>
  <c r="FH302" i="2"/>
  <c r="FH316" i="2" s="1"/>
  <c r="FF302" i="2"/>
  <c r="FF316" i="2" s="1"/>
  <c r="FD302" i="2"/>
  <c r="FB302" i="2"/>
  <c r="EX302" i="2"/>
  <c r="EV302" i="2"/>
  <c r="ER302" i="2"/>
  <c r="EP302" i="2"/>
  <c r="EP316" i="2" s="1"/>
  <c r="EL302" i="2"/>
  <c r="EJ302" i="2"/>
  <c r="EF302" i="2"/>
  <c r="ED302" i="2"/>
  <c r="EB302" i="2"/>
  <c r="DX302" i="2"/>
  <c r="DV302" i="2"/>
  <c r="DT302" i="2"/>
  <c r="DT316" i="2" s="1"/>
  <c r="DP302" i="2"/>
  <c r="DP316" i="2" s="1"/>
  <c r="DN302" i="2"/>
  <c r="DJ302" i="2"/>
  <c r="DH302" i="2"/>
  <c r="DD302" i="2"/>
  <c r="DB302" i="2"/>
  <c r="CX302" i="2"/>
  <c r="CV302" i="2"/>
  <c r="CV316" i="2" s="1"/>
  <c r="CR302" i="2"/>
  <c r="CR316" i="2" s="1"/>
  <c r="CP302" i="2"/>
  <c r="CL302" i="2"/>
  <c r="CJ302" i="2"/>
  <c r="CF302" i="2"/>
  <c r="CD302" i="2"/>
  <c r="CB302" i="2"/>
  <c r="BZ302" i="2"/>
  <c r="BZ316" i="2" s="1"/>
  <c r="BW302" i="2"/>
  <c r="BW316" i="2" s="1"/>
  <c r="BW318" i="2" s="1"/>
  <c r="BS302" i="2"/>
  <c r="BQ302" i="2"/>
  <c r="BO302" i="2"/>
  <c r="BK302" i="2"/>
  <c r="BI302" i="2"/>
  <c r="BE302" i="2"/>
  <c r="BC302" i="2"/>
  <c r="BC316" i="2" s="1"/>
  <c r="AY302" i="2"/>
  <c r="AY316" i="2" s="1"/>
  <c r="AW302" i="2"/>
  <c r="AS302" i="2"/>
  <c r="AS316" i="2" s="1"/>
  <c r="AQ302" i="2"/>
  <c r="AM302" i="2"/>
  <c r="AK302" i="2"/>
  <c r="AI302" i="2"/>
  <c r="AE302" i="2"/>
  <c r="AE316" i="2" s="1"/>
  <c r="AC302" i="2"/>
  <c r="Y302" i="2"/>
  <c r="W302" i="2"/>
  <c r="S302" i="2"/>
  <c r="Q302" i="2"/>
  <c r="M302" i="2"/>
  <c r="K302" i="2"/>
  <c r="GB301" i="2"/>
  <c r="FV301" i="2"/>
  <c r="FP301" i="2"/>
  <c r="FJ301" i="2"/>
  <c r="EZ301" i="2"/>
  <c r="ET301" i="2"/>
  <c r="EN301" i="2"/>
  <c r="EH301" i="2"/>
  <c r="DZ301" i="2"/>
  <c r="DR301" i="2"/>
  <c r="DL301" i="2"/>
  <c r="DF301" i="2"/>
  <c r="CZ301" i="2"/>
  <c r="CT301" i="2"/>
  <c r="CN301" i="2"/>
  <c r="CH301" i="2"/>
  <c r="BU301" i="2"/>
  <c r="BM301" i="2"/>
  <c r="BG301" i="2"/>
  <c r="BA301" i="2"/>
  <c r="AU301" i="2"/>
  <c r="AO301" i="2"/>
  <c r="AG301" i="2"/>
  <c r="AA301" i="2"/>
  <c r="U301" i="2"/>
  <c r="O301" i="2"/>
  <c r="GB300" i="2"/>
  <c r="FV300" i="2"/>
  <c r="FP300" i="2"/>
  <c r="FJ300" i="2"/>
  <c r="EZ300" i="2"/>
  <c r="ET300" i="2"/>
  <c r="EN300" i="2"/>
  <c r="EH300" i="2"/>
  <c r="DZ300" i="2"/>
  <c r="DR300" i="2"/>
  <c r="DL300" i="2"/>
  <c r="DF300" i="2"/>
  <c r="CZ300" i="2"/>
  <c r="CT300" i="2"/>
  <c r="CN300" i="2"/>
  <c r="CH300" i="2"/>
  <c r="BU300" i="2"/>
  <c r="BM300" i="2"/>
  <c r="BG300" i="2"/>
  <c r="BA300" i="2"/>
  <c r="AU300" i="2"/>
  <c r="AO300" i="2"/>
  <c r="AG300" i="2"/>
  <c r="AA300" i="2"/>
  <c r="U300" i="2"/>
  <c r="O300" i="2"/>
  <c r="GB299" i="2"/>
  <c r="FV299" i="2"/>
  <c r="FP299" i="2"/>
  <c r="FJ299" i="2"/>
  <c r="EZ299" i="2"/>
  <c r="ET299" i="2"/>
  <c r="EN299" i="2"/>
  <c r="EH299" i="2"/>
  <c r="DZ299" i="2"/>
  <c r="DR299" i="2"/>
  <c r="DL299" i="2"/>
  <c r="DF299" i="2"/>
  <c r="CZ299" i="2"/>
  <c r="CT299" i="2"/>
  <c r="CN299" i="2"/>
  <c r="CH299" i="2"/>
  <c r="BU299" i="2"/>
  <c r="BM299" i="2"/>
  <c r="BG299" i="2"/>
  <c r="BA299" i="2"/>
  <c r="AU299" i="2"/>
  <c r="AO299" i="2"/>
  <c r="AG299" i="2"/>
  <c r="AA299" i="2"/>
  <c r="U299" i="2"/>
  <c r="O299" i="2"/>
  <c r="GB298" i="2"/>
  <c r="FV298" i="2"/>
  <c r="FP298" i="2"/>
  <c r="FJ298" i="2"/>
  <c r="EZ298" i="2"/>
  <c r="ET298" i="2"/>
  <c r="EN298" i="2"/>
  <c r="EH298" i="2"/>
  <c r="DZ298" i="2"/>
  <c r="DR298" i="2"/>
  <c r="DL298" i="2"/>
  <c r="DF298" i="2"/>
  <c r="CZ298" i="2"/>
  <c r="CT298" i="2"/>
  <c r="CN298" i="2"/>
  <c r="CH298" i="2"/>
  <c r="BU298" i="2"/>
  <c r="BM298" i="2"/>
  <c r="BG298" i="2"/>
  <c r="BA298" i="2"/>
  <c r="AU298" i="2"/>
  <c r="AO298" i="2"/>
  <c r="AG298" i="2"/>
  <c r="AA298" i="2"/>
  <c r="U298" i="2"/>
  <c r="O298" i="2"/>
  <c r="GB296" i="2"/>
  <c r="FV296" i="2"/>
  <c r="FP296" i="2"/>
  <c r="FJ296" i="2"/>
  <c r="EZ296" i="2"/>
  <c r="ET296" i="2"/>
  <c r="EN296" i="2"/>
  <c r="EH296" i="2"/>
  <c r="DZ296" i="2"/>
  <c r="DR296" i="2"/>
  <c r="DL296" i="2"/>
  <c r="DF296" i="2"/>
  <c r="CZ296" i="2"/>
  <c r="CT296" i="2"/>
  <c r="CN296" i="2"/>
  <c r="CH296" i="2"/>
  <c r="BU296" i="2"/>
  <c r="BM296" i="2"/>
  <c r="BG296" i="2"/>
  <c r="BA296" i="2"/>
  <c r="AU296" i="2"/>
  <c r="AO296" i="2"/>
  <c r="AG296" i="2"/>
  <c r="AA296" i="2"/>
  <c r="U296" i="2"/>
  <c r="O296" i="2"/>
  <c r="GB295" i="2"/>
  <c r="FV295" i="2"/>
  <c r="FP295" i="2"/>
  <c r="FJ295" i="2"/>
  <c r="EZ295" i="2"/>
  <c r="ET295" i="2"/>
  <c r="EN295" i="2"/>
  <c r="EH295" i="2"/>
  <c r="DZ295" i="2"/>
  <c r="DR295" i="2"/>
  <c r="DL295" i="2"/>
  <c r="DF295" i="2"/>
  <c r="CZ295" i="2"/>
  <c r="CT295" i="2"/>
  <c r="CN295" i="2"/>
  <c r="CH295" i="2"/>
  <c r="BU295" i="2"/>
  <c r="BM295" i="2"/>
  <c r="BG295" i="2"/>
  <c r="BA295" i="2"/>
  <c r="AU295" i="2"/>
  <c r="AO295" i="2"/>
  <c r="AG295" i="2"/>
  <c r="AA295" i="2"/>
  <c r="U295" i="2"/>
  <c r="O295" i="2"/>
  <c r="GB294" i="2"/>
  <c r="FV294" i="2"/>
  <c r="FP294" i="2"/>
  <c r="FJ294" i="2"/>
  <c r="EZ294" i="2"/>
  <c r="ET294" i="2"/>
  <c r="EN294" i="2"/>
  <c r="EH294" i="2"/>
  <c r="DZ294" i="2"/>
  <c r="DR294" i="2"/>
  <c r="DL294" i="2"/>
  <c r="DF294" i="2"/>
  <c r="CZ294" i="2"/>
  <c r="CT294" i="2"/>
  <c r="CN294" i="2"/>
  <c r="CH294" i="2"/>
  <c r="BU294" i="2"/>
  <c r="BM294" i="2"/>
  <c r="BG294" i="2"/>
  <c r="BA294" i="2"/>
  <c r="AU294" i="2"/>
  <c r="AO294" i="2"/>
  <c r="AG294" i="2"/>
  <c r="AA294" i="2"/>
  <c r="U294" i="2"/>
  <c r="O294" i="2"/>
  <c r="GB293" i="2"/>
  <c r="FV293" i="2"/>
  <c r="FP293" i="2"/>
  <c r="FJ293" i="2"/>
  <c r="EZ293" i="2"/>
  <c r="ET293" i="2"/>
  <c r="EN293" i="2"/>
  <c r="EH293" i="2"/>
  <c r="DZ293" i="2"/>
  <c r="DR293" i="2"/>
  <c r="DL293" i="2"/>
  <c r="DF293" i="2"/>
  <c r="CZ293" i="2"/>
  <c r="CT293" i="2"/>
  <c r="CN293" i="2"/>
  <c r="CH293" i="2"/>
  <c r="BU293" i="2"/>
  <c r="BM293" i="2"/>
  <c r="BG293" i="2"/>
  <c r="BA293" i="2"/>
  <c r="AU293" i="2"/>
  <c r="AO293" i="2"/>
  <c r="AG293" i="2"/>
  <c r="AA293" i="2"/>
  <c r="U293" i="2"/>
  <c r="O293" i="2"/>
  <c r="GB292" i="2"/>
  <c r="FV292" i="2"/>
  <c r="FP292" i="2"/>
  <c r="FJ292" i="2"/>
  <c r="EZ292" i="2"/>
  <c r="ET292" i="2"/>
  <c r="EN292" i="2"/>
  <c r="EH292" i="2"/>
  <c r="DZ292" i="2"/>
  <c r="DR292" i="2"/>
  <c r="DL292" i="2"/>
  <c r="DF292" i="2"/>
  <c r="CZ292" i="2"/>
  <c r="CT292" i="2"/>
  <c r="CN292" i="2"/>
  <c r="CH292" i="2"/>
  <c r="BU292" i="2"/>
  <c r="BM292" i="2"/>
  <c r="BG292" i="2"/>
  <c r="BA292" i="2"/>
  <c r="AU292" i="2"/>
  <c r="AO292" i="2"/>
  <c r="AG292" i="2"/>
  <c r="AA292" i="2"/>
  <c r="U292" i="2"/>
  <c r="O292" i="2"/>
  <c r="FZ289" i="2"/>
  <c r="FX289" i="2"/>
  <c r="FT289" i="2"/>
  <c r="FR289" i="2"/>
  <c r="FN289" i="2"/>
  <c r="FL289" i="2"/>
  <c r="FH289" i="2"/>
  <c r="FF289" i="2"/>
  <c r="FD289" i="2"/>
  <c r="FB289" i="2"/>
  <c r="EX289" i="2"/>
  <c r="EV289" i="2"/>
  <c r="ER289" i="2"/>
  <c r="EP289" i="2"/>
  <c r="EL289" i="2"/>
  <c r="EJ289" i="2"/>
  <c r="EF289" i="2"/>
  <c r="ED289" i="2"/>
  <c r="EB289" i="2"/>
  <c r="DX289" i="2"/>
  <c r="DV289" i="2"/>
  <c r="DT289" i="2"/>
  <c r="DP289" i="2"/>
  <c r="DP318" i="2" s="1"/>
  <c r="DN289" i="2"/>
  <c r="DJ289" i="2"/>
  <c r="DH289" i="2"/>
  <c r="DD289" i="2"/>
  <c r="DB289" i="2"/>
  <c r="CX289" i="2"/>
  <c r="CV289" i="2"/>
  <c r="CR289" i="2"/>
  <c r="CR318" i="2" s="1"/>
  <c r="CP289" i="2"/>
  <c r="CL289" i="2"/>
  <c r="CJ289" i="2"/>
  <c r="CF289" i="2"/>
  <c r="CD289" i="2"/>
  <c r="CB289" i="2"/>
  <c r="BZ289" i="2"/>
  <c r="BW289" i="2"/>
  <c r="BS289" i="2"/>
  <c r="BQ289" i="2"/>
  <c r="BO289" i="2"/>
  <c r="BK289" i="2"/>
  <c r="BI289" i="2"/>
  <c r="BE289" i="2"/>
  <c r="BC289" i="2"/>
  <c r="BC318" i="2" s="1"/>
  <c r="AY289" i="2"/>
  <c r="AY318" i="2" s="1"/>
  <c r="AW289" i="2"/>
  <c r="AS289" i="2"/>
  <c r="AQ289" i="2"/>
  <c r="AM289" i="2"/>
  <c r="AK289" i="2"/>
  <c r="AI289" i="2"/>
  <c r="AE289" i="2"/>
  <c r="AC289" i="2"/>
  <c r="Y289" i="2"/>
  <c r="W289" i="2"/>
  <c r="S289" i="2"/>
  <c r="Q289" i="2"/>
  <c r="M289" i="2"/>
  <c r="K289" i="2"/>
  <c r="GB287" i="2"/>
  <c r="FV287" i="2"/>
  <c r="FP287" i="2"/>
  <c r="FJ287" i="2"/>
  <c r="EZ287" i="2"/>
  <c r="ET287" i="2"/>
  <c r="EN287" i="2"/>
  <c r="EH287" i="2"/>
  <c r="DZ287" i="2"/>
  <c r="DR287" i="2"/>
  <c r="DL287" i="2"/>
  <c r="DF287" i="2"/>
  <c r="CZ287" i="2"/>
  <c r="CT287" i="2"/>
  <c r="CN287" i="2"/>
  <c r="CH287" i="2"/>
  <c r="BU287" i="2"/>
  <c r="BM287" i="2"/>
  <c r="BG287" i="2"/>
  <c r="BA287" i="2"/>
  <c r="AU287" i="2"/>
  <c r="AO287" i="2"/>
  <c r="AG287" i="2"/>
  <c r="AA287" i="2"/>
  <c r="U287" i="2"/>
  <c r="O287" i="2"/>
  <c r="GB286" i="2"/>
  <c r="FV286" i="2"/>
  <c r="FP286" i="2"/>
  <c r="FJ286" i="2"/>
  <c r="EZ286" i="2"/>
  <c r="ET286" i="2"/>
  <c r="EN286" i="2"/>
  <c r="EH286" i="2"/>
  <c r="DZ286" i="2"/>
  <c r="DR286" i="2"/>
  <c r="DL286" i="2"/>
  <c r="DF286" i="2"/>
  <c r="CZ286" i="2"/>
  <c r="CT286" i="2"/>
  <c r="CN286" i="2"/>
  <c r="CH286" i="2"/>
  <c r="BU286" i="2"/>
  <c r="BM286" i="2"/>
  <c r="BG286" i="2"/>
  <c r="BA286" i="2"/>
  <c r="AU286" i="2"/>
  <c r="AO286" i="2"/>
  <c r="AG286" i="2"/>
  <c r="AA286" i="2"/>
  <c r="U286" i="2"/>
  <c r="O286" i="2"/>
  <c r="GB285" i="2"/>
  <c r="FV285" i="2"/>
  <c r="FP285" i="2"/>
  <c r="FJ285" i="2"/>
  <c r="EZ285" i="2"/>
  <c r="ET285" i="2"/>
  <c r="EN285" i="2"/>
  <c r="EH285" i="2"/>
  <c r="DZ285" i="2"/>
  <c r="DR285" i="2"/>
  <c r="DL285" i="2"/>
  <c r="DF285" i="2"/>
  <c r="CZ285" i="2"/>
  <c r="CT285" i="2"/>
  <c r="CN285" i="2"/>
  <c r="CH285" i="2"/>
  <c r="BU285" i="2"/>
  <c r="BM285" i="2"/>
  <c r="BG285" i="2"/>
  <c r="BA285" i="2"/>
  <c r="AU285" i="2"/>
  <c r="AO285" i="2"/>
  <c r="AG285" i="2"/>
  <c r="AA285" i="2"/>
  <c r="U285" i="2"/>
  <c r="O285" i="2"/>
  <c r="GB284" i="2"/>
  <c r="FV284" i="2"/>
  <c r="FP284" i="2"/>
  <c r="FJ284" i="2"/>
  <c r="EZ284" i="2"/>
  <c r="ET284" i="2"/>
  <c r="EN284" i="2"/>
  <c r="EH284" i="2"/>
  <c r="DZ284" i="2"/>
  <c r="DR284" i="2"/>
  <c r="DL284" i="2"/>
  <c r="DF284" i="2"/>
  <c r="CZ284" i="2"/>
  <c r="CT284" i="2"/>
  <c r="CN284" i="2"/>
  <c r="CH284" i="2"/>
  <c r="BU284" i="2"/>
  <c r="BM284" i="2"/>
  <c r="BG284" i="2"/>
  <c r="BA284" i="2"/>
  <c r="AU284" i="2"/>
  <c r="AO284" i="2"/>
  <c r="AG284" i="2"/>
  <c r="AA284" i="2"/>
  <c r="U284" i="2"/>
  <c r="O284" i="2"/>
  <c r="GB283" i="2"/>
  <c r="FV283" i="2"/>
  <c r="FP283" i="2"/>
  <c r="FJ283" i="2"/>
  <c r="EZ283" i="2"/>
  <c r="ET283" i="2"/>
  <c r="EN283" i="2"/>
  <c r="EH283" i="2"/>
  <c r="DZ283" i="2"/>
  <c r="DR283" i="2"/>
  <c r="DL283" i="2"/>
  <c r="DF283" i="2"/>
  <c r="CZ283" i="2"/>
  <c r="CT283" i="2"/>
  <c r="CN283" i="2"/>
  <c r="CH283" i="2"/>
  <c r="BU283" i="2"/>
  <c r="BM283" i="2"/>
  <c r="BG283" i="2"/>
  <c r="BA283" i="2"/>
  <c r="AU283" i="2"/>
  <c r="AO283" i="2"/>
  <c r="AG283" i="2"/>
  <c r="AA283" i="2"/>
  <c r="U283" i="2"/>
  <c r="O283" i="2"/>
  <c r="GB282" i="2"/>
  <c r="FV282" i="2"/>
  <c r="FP282" i="2"/>
  <c r="FJ282" i="2"/>
  <c r="EZ282" i="2"/>
  <c r="ET282" i="2"/>
  <c r="EN282" i="2"/>
  <c r="EH282" i="2"/>
  <c r="DZ282" i="2"/>
  <c r="DR282" i="2"/>
  <c r="DL282" i="2"/>
  <c r="DF282" i="2"/>
  <c r="CZ282" i="2"/>
  <c r="CT282" i="2"/>
  <c r="CN282" i="2"/>
  <c r="CH282" i="2"/>
  <c r="BU282" i="2"/>
  <c r="BM282" i="2"/>
  <c r="BG282" i="2"/>
  <c r="BA282" i="2"/>
  <c r="AU282" i="2"/>
  <c r="AO282" i="2"/>
  <c r="AG282" i="2"/>
  <c r="AA282" i="2"/>
  <c r="U282" i="2"/>
  <c r="O282" i="2"/>
  <c r="GB281" i="2"/>
  <c r="FV281" i="2"/>
  <c r="FP281" i="2"/>
  <c r="FJ281" i="2"/>
  <c r="EZ281" i="2"/>
  <c r="ET281" i="2"/>
  <c r="EN281" i="2"/>
  <c r="EH281" i="2"/>
  <c r="DZ281" i="2"/>
  <c r="DR281" i="2"/>
  <c r="DL281" i="2"/>
  <c r="DF281" i="2"/>
  <c r="CZ281" i="2"/>
  <c r="CT281" i="2"/>
  <c r="CN281" i="2"/>
  <c r="CH281" i="2"/>
  <c r="BU281" i="2"/>
  <c r="BM281" i="2"/>
  <c r="BG281" i="2"/>
  <c r="BA281" i="2"/>
  <c r="AU281" i="2"/>
  <c r="AO281" i="2"/>
  <c r="AG281" i="2"/>
  <c r="AA281" i="2"/>
  <c r="U281" i="2"/>
  <c r="O281" i="2"/>
  <c r="GB279" i="2"/>
  <c r="FV279" i="2"/>
  <c r="FP279" i="2"/>
  <c r="FJ279" i="2"/>
  <c r="EZ279" i="2"/>
  <c r="ET279" i="2"/>
  <c r="EN279" i="2"/>
  <c r="EH279" i="2"/>
  <c r="DZ279" i="2"/>
  <c r="DR279" i="2"/>
  <c r="DL279" i="2"/>
  <c r="DF279" i="2"/>
  <c r="CZ279" i="2"/>
  <c r="CT279" i="2"/>
  <c r="CN279" i="2"/>
  <c r="CH279" i="2"/>
  <c r="BU279" i="2"/>
  <c r="BM279" i="2"/>
  <c r="BG279" i="2"/>
  <c r="BA279" i="2"/>
  <c r="AU279" i="2"/>
  <c r="AO279" i="2"/>
  <c r="AG279" i="2"/>
  <c r="AA279" i="2"/>
  <c r="U279" i="2"/>
  <c r="O279" i="2"/>
  <c r="GB278" i="2"/>
  <c r="FV278" i="2"/>
  <c r="FP278" i="2"/>
  <c r="FJ278" i="2"/>
  <c r="EZ278" i="2"/>
  <c r="ET278" i="2"/>
  <c r="EN278" i="2"/>
  <c r="EH278" i="2"/>
  <c r="DZ278" i="2"/>
  <c r="DR278" i="2"/>
  <c r="DL278" i="2"/>
  <c r="DF278" i="2"/>
  <c r="CZ278" i="2"/>
  <c r="CT278" i="2"/>
  <c r="CN278" i="2"/>
  <c r="CH278" i="2"/>
  <c r="BU278" i="2"/>
  <c r="BM278" i="2"/>
  <c r="BG278" i="2"/>
  <c r="BA278" i="2"/>
  <c r="AU278" i="2"/>
  <c r="AO278" i="2"/>
  <c r="AG278" i="2"/>
  <c r="AA278" i="2"/>
  <c r="U278" i="2"/>
  <c r="O278" i="2"/>
  <c r="GB277" i="2"/>
  <c r="FV277" i="2"/>
  <c r="FP277" i="2"/>
  <c r="FJ277" i="2"/>
  <c r="EZ277" i="2"/>
  <c r="ET277" i="2"/>
  <c r="EN277" i="2"/>
  <c r="EH277" i="2"/>
  <c r="DZ277" i="2"/>
  <c r="DR277" i="2"/>
  <c r="DL277" i="2"/>
  <c r="DF277" i="2"/>
  <c r="CZ277" i="2"/>
  <c r="CT277" i="2"/>
  <c r="CN277" i="2"/>
  <c r="CH277" i="2"/>
  <c r="BU277" i="2"/>
  <c r="BM277" i="2"/>
  <c r="BG277" i="2"/>
  <c r="BA277" i="2"/>
  <c r="AU277" i="2"/>
  <c r="AO277" i="2"/>
  <c r="AG277" i="2"/>
  <c r="AA277" i="2"/>
  <c r="U277" i="2"/>
  <c r="O277" i="2"/>
  <c r="GB276" i="2"/>
  <c r="FV276" i="2"/>
  <c r="FP276" i="2"/>
  <c r="FJ276" i="2"/>
  <c r="EZ276" i="2"/>
  <c r="ET276" i="2"/>
  <c r="EN276" i="2"/>
  <c r="EH276" i="2"/>
  <c r="DZ276" i="2"/>
  <c r="DR276" i="2"/>
  <c r="DL276" i="2"/>
  <c r="DF276" i="2"/>
  <c r="CZ276" i="2"/>
  <c r="CT276" i="2"/>
  <c r="CN276" i="2"/>
  <c r="CH276" i="2"/>
  <c r="BU276" i="2"/>
  <c r="BM276" i="2"/>
  <c r="BG276" i="2"/>
  <c r="BA276" i="2"/>
  <c r="AU276" i="2"/>
  <c r="AO276" i="2"/>
  <c r="AG276" i="2"/>
  <c r="AA276" i="2"/>
  <c r="U276" i="2"/>
  <c r="O276" i="2"/>
  <c r="GB274" i="2"/>
  <c r="FV274" i="2"/>
  <c r="FP274" i="2"/>
  <c r="FJ274" i="2"/>
  <c r="EZ274" i="2"/>
  <c r="ET274" i="2"/>
  <c r="EN274" i="2"/>
  <c r="EH274" i="2"/>
  <c r="DZ274" i="2"/>
  <c r="DR274" i="2"/>
  <c r="DL274" i="2"/>
  <c r="DF274" i="2"/>
  <c r="CZ274" i="2"/>
  <c r="CT274" i="2"/>
  <c r="CN274" i="2"/>
  <c r="CH274" i="2"/>
  <c r="BU274" i="2"/>
  <c r="BM274" i="2"/>
  <c r="BG274" i="2"/>
  <c r="BA274" i="2"/>
  <c r="AU274" i="2"/>
  <c r="AO274" i="2"/>
  <c r="AG274" i="2"/>
  <c r="AA274" i="2"/>
  <c r="U274" i="2"/>
  <c r="O274" i="2"/>
  <c r="GB273" i="2"/>
  <c r="FV273" i="2"/>
  <c r="FP273" i="2"/>
  <c r="FJ273" i="2"/>
  <c r="EZ273" i="2"/>
  <c r="ET273" i="2"/>
  <c r="EN273" i="2"/>
  <c r="EH273" i="2"/>
  <c r="DZ273" i="2"/>
  <c r="DR273" i="2"/>
  <c r="DL273" i="2"/>
  <c r="DF273" i="2"/>
  <c r="CZ273" i="2"/>
  <c r="CT273" i="2"/>
  <c r="CN273" i="2"/>
  <c r="CH273" i="2"/>
  <c r="BU273" i="2"/>
  <c r="BM273" i="2"/>
  <c r="BG273" i="2"/>
  <c r="BA273" i="2"/>
  <c r="AU273" i="2"/>
  <c r="AO273" i="2"/>
  <c r="AG273" i="2"/>
  <c r="AA273" i="2"/>
  <c r="U273" i="2"/>
  <c r="O273" i="2"/>
  <c r="GB272" i="2"/>
  <c r="FV272" i="2"/>
  <c r="FP272" i="2"/>
  <c r="FJ272" i="2"/>
  <c r="EZ272" i="2"/>
  <c r="ET272" i="2"/>
  <c r="EN272" i="2"/>
  <c r="EH272" i="2"/>
  <c r="DZ272" i="2"/>
  <c r="DR272" i="2"/>
  <c r="DL272" i="2"/>
  <c r="DF272" i="2"/>
  <c r="CZ272" i="2"/>
  <c r="CT272" i="2"/>
  <c r="CN272" i="2"/>
  <c r="CH272" i="2"/>
  <c r="BU272" i="2"/>
  <c r="BM272" i="2"/>
  <c r="BG272" i="2"/>
  <c r="BA272" i="2"/>
  <c r="AU272" i="2"/>
  <c r="AO272" i="2"/>
  <c r="AG272" i="2"/>
  <c r="AA272" i="2"/>
  <c r="U272" i="2"/>
  <c r="O272" i="2"/>
  <c r="GB271" i="2"/>
  <c r="FV271" i="2"/>
  <c r="FP271" i="2"/>
  <c r="FJ271" i="2"/>
  <c r="EZ271" i="2"/>
  <c r="ET271" i="2"/>
  <c r="EN271" i="2"/>
  <c r="EH271" i="2"/>
  <c r="DZ271" i="2"/>
  <c r="DR271" i="2"/>
  <c r="DL271" i="2"/>
  <c r="DF271" i="2"/>
  <c r="CZ271" i="2"/>
  <c r="CT271" i="2"/>
  <c r="CN271" i="2"/>
  <c r="CH271" i="2"/>
  <c r="BU271" i="2"/>
  <c r="BM271" i="2"/>
  <c r="BG271" i="2"/>
  <c r="BA271" i="2"/>
  <c r="AU271" i="2"/>
  <c r="AO271" i="2"/>
  <c r="AG271" i="2"/>
  <c r="AA271" i="2"/>
  <c r="U271" i="2"/>
  <c r="O271" i="2"/>
  <c r="GB270" i="2"/>
  <c r="FV270" i="2"/>
  <c r="FP270" i="2"/>
  <c r="FJ270" i="2"/>
  <c r="EZ270" i="2"/>
  <c r="ET270" i="2"/>
  <c r="EN270" i="2"/>
  <c r="EH270" i="2"/>
  <c r="DZ270" i="2"/>
  <c r="DR270" i="2"/>
  <c r="DL270" i="2"/>
  <c r="DF270" i="2"/>
  <c r="CZ270" i="2"/>
  <c r="CT270" i="2"/>
  <c r="CN270" i="2"/>
  <c r="CH270" i="2"/>
  <c r="BU270" i="2"/>
  <c r="BM270" i="2"/>
  <c r="BG270" i="2"/>
  <c r="BA270" i="2"/>
  <c r="AU270" i="2"/>
  <c r="AO270" i="2"/>
  <c r="AG270" i="2"/>
  <c r="AA270" i="2"/>
  <c r="AA289" i="2" s="1"/>
  <c r="U270" i="2"/>
  <c r="O270" i="2"/>
  <c r="FZ266" i="2"/>
  <c r="FX266" i="2"/>
  <c r="FT266" i="2"/>
  <c r="FR266" i="2"/>
  <c r="FN266" i="2"/>
  <c r="FL266" i="2"/>
  <c r="FH266" i="2"/>
  <c r="FF266" i="2"/>
  <c r="FD266" i="2"/>
  <c r="FB266" i="2"/>
  <c r="EX266" i="2"/>
  <c r="EV266" i="2"/>
  <c r="ER266" i="2"/>
  <c r="EP266" i="2"/>
  <c r="EL266" i="2"/>
  <c r="EJ266" i="2"/>
  <c r="EF266" i="2"/>
  <c r="ED266" i="2"/>
  <c r="EB266" i="2"/>
  <c r="DX266" i="2"/>
  <c r="DV266" i="2"/>
  <c r="DT266" i="2"/>
  <c r="DP266" i="2"/>
  <c r="DP320" i="2" s="1"/>
  <c r="DN266" i="2"/>
  <c r="DJ266" i="2"/>
  <c r="DH266" i="2"/>
  <c r="DD266" i="2"/>
  <c r="DB266" i="2"/>
  <c r="CX266" i="2"/>
  <c r="CV266" i="2"/>
  <c r="CR266" i="2"/>
  <c r="CR320" i="2" s="1"/>
  <c r="CP266" i="2"/>
  <c r="CL266" i="2"/>
  <c r="CJ266" i="2"/>
  <c r="CF266" i="2"/>
  <c r="CD266" i="2"/>
  <c r="CB266" i="2"/>
  <c r="BZ266" i="2"/>
  <c r="BW266" i="2"/>
  <c r="BS266" i="2"/>
  <c r="BQ266" i="2"/>
  <c r="BO266" i="2"/>
  <c r="BK266" i="2"/>
  <c r="BI266" i="2"/>
  <c r="BE266" i="2"/>
  <c r="BC266" i="2"/>
  <c r="BC320" i="2" s="1"/>
  <c r="AY266" i="2"/>
  <c r="AY320" i="2" s="1"/>
  <c r="AW266" i="2"/>
  <c r="AS266" i="2"/>
  <c r="AQ266" i="2"/>
  <c r="AM266" i="2"/>
  <c r="AK266" i="2"/>
  <c r="AI266" i="2"/>
  <c r="AE266" i="2"/>
  <c r="AC266" i="2"/>
  <c r="Y266" i="2"/>
  <c r="W266" i="2"/>
  <c r="S266" i="2"/>
  <c r="Q266" i="2"/>
  <c r="M266" i="2"/>
  <c r="K266" i="2"/>
  <c r="GB265" i="2"/>
  <c r="FV265" i="2"/>
  <c r="FP265" i="2"/>
  <c r="FJ265" i="2"/>
  <c r="EZ265" i="2"/>
  <c r="ET265" i="2"/>
  <c r="EN265" i="2"/>
  <c r="EH265" i="2"/>
  <c r="DZ265" i="2"/>
  <c r="DR265" i="2"/>
  <c r="DL265" i="2"/>
  <c r="DF265" i="2"/>
  <c r="CZ265" i="2"/>
  <c r="CT265" i="2"/>
  <c r="CN265" i="2"/>
  <c r="CH265" i="2"/>
  <c r="BU265" i="2"/>
  <c r="BM265" i="2"/>
  <c r="BG265" i="2"/>
  <c r="BA265" i="2"/>
  <c r="AU265" i="2"/>
  <c r="AO265" i="2"/>
  <c r="AG265" i="2"/>
  <c r="AA265" i="2"/>
  <c r="U265" i="2"/>
  <c r="O265" i="2"/>
  <c r="GB264" i="2"/>
  <c r="FV264" i="2"/>
  <c r="FP264" i="2"/>
  <c r="FJ264" i="2"/>
  <c r="EZ264" i="2"/>
  <c r="ET264" i="2"/>
  <c r="EN264" i="2"/>
  <c r="EH264" i="2"/>
  <c r="DZ264" i="2"/>
  <c r="DR264" i="2"/>
  <c r="DL264" i="2"/>
  <c r="DF264" i="2"/>
  <c r="CZ264" i="2"/>
  <c r="CT264" i="2"/>
  <c r="CN264" i="2"/>
  <c r="CH264" i="2"/>
  <c r="BU264" i="2"/>
  <c r="BM264" i="2"/>
  <c r="BG264" i="2"/>
  <c r="BA264" i="2"/>
  <c r="AU264" i="2"/>
  <c r="AO264" i="2"/>
  <c r="AG264" i="2"/>
  <c r="AA264" i="2"/>
  <c r="U264" i="2"/>
  <c r="O264" i="2"/>
  <c r="GB263" i="2"/>
  <c r="FV263" i="2"/>
  <c r="FP263" i="2"/>
  <c r="FJ263" i="2"/>
  <c r="EZ263" i="2"/>
  <c r="ET263" i="2"/>
  <c r="EN263" i="2"/>
  <c r="EH263" i="2"/>
  <c r="DZ263" i="2"/>
  <c r="DR263" i="2"/>
  <c r="DL263" i="2"/>
  <c r="DF263" i="2"/>
  <c r="CZ263" i="2"/>
  <c r="CT263" i="2"/>
  <c r="CN263" i="2"/>
  <c r="CH263" i="2"/>
  <c r="BU263" i="2"/>
  <c r="BM263" i="2"/>
  <c r="BG263" i="2"/>
  <c r="BA263" i="2"/>
  <c r="AU263" i="2"/>
  <c r="AO263" i="2"/>
  <c r="AG263" i="2"/>
  <c r="AA263" i="2"/>
  <c r="U263" i="2"/>
  <c r="O263" i="2"/>
  <c r="GB262" i="2"/>
  <c r="FV262" i="2"/>
  <c r="FP262" i="2"/>
  <c r="FJ262" i="2"/>
  <c r="EZ262" i="2"/>
  <c r="ET262" i="2"/>
  <c r="EN262" i="2"/>
  <c r="EH262" i="2"/>
  <c r="DZ262" i="2"/>
  <c r="DR262" i="2"/>
  <c r="DL262" i="2"/>
  <c r="DF262" i="2"/>
  <c r="CZ262" i="2"/>
  <c r="CT262" i="2"/>
  <c r="CN262" i="2"/>
  <c r="CH262" i="2"/>
  <c r="BU262" i="2"/>
  <c r="BM262" i="2"/>
  <c r="BG262" i="2"/>
  <c r="BA262" i="2"/>
  <c r="AU262" i="2"/>
  <c r="AO262" i="2"/>
  <c r="AG262" i="2"/>
  <c r="AA262" i="2"/>
  <c r="U262" i="2"/>
  <c r="O262" i="2"/>
  <c r="GB261" i="2"/>
  <c r="FV261" i="2"/>
  <c r="FP261" i="2"/>
  <c r="FJ261" i="2"/>
  <c r="EZ261" i="2"/>
  <c r="ET261" i="2"/>
  <c r="EN261" i="2"/>
  <c r="EH261" i="2"/>
  <c r="DZ261" i="2"/>
  <c r="DR261" i="2"/>
  <c r="DL261" i="2"/>
  <c r="DF261" i="2"/>
  <c r="CZ261" i="2"/>
  <c r="CT261" i="2"/>
  <c r="CN261" i="2"/>
  <c r="CH261" i="2"/>
  <c r="BU261" i="2"/>
  <c r="BM261" i="2"/>
  <c r="BG261" i="2"/>
  <c r="BA261" i="2"/>
  <c r="AU261" i="2"/>
  <c r="AO261" i="2"/>
  <c r="AG261" i="2"/>
  <c r="AA261" i="2"/>
  <c r="U261" i="2"/>
  <c r="U266" i="2" s="1"/>
  <c r="O261" i="2"/>
  <c r="GL252" i="2"/>
  <c r="GB251" i="2"/>
  <c r="FV251" i="2"/>
  <c r="FP251" i="2"/>
  <c r="FJ251" i="2"/>
  <c r="EZ251" i="2"/>
  <c r="ET251" i="2"/>
  <c r="EN251" i="2"/>
  <c r="EH251" i="2"/>
  <c r="DZ251" i="2"/>
  <c r="DR251" i="2"/>
  <c r="DL251" i="2"/>
  <c r="DF251" i="2"/>
  <c r="CZ251" i="2"/>
  <c r="CT251" i="2"/>
  <c r="CN251" i="2"/>
  <c r="CH251" i="2"/>
  <c r="BU251" i="2"/>
  <c r="BM251" i="2"/>
  <c r="BG251" i="2"/>
  <c r="BA251" i="2"/>
  <c r="AU251" i="2"/>
  <c r="AO251" i="2"/>
  <c r="AG251" i="2"/>
  <c r="AA251" i="2"/>
  <c r="S251" i="2"/>
  <c r="U251" i="2" s="1"/>
  <c r="O251" i="2"/>
  <c r="GL250" i="2"/>
  <c r="CJ249" i="2"/>
  <c r="CJ253" i="2" s="1"/>
  <c r="GL248" i="2"/>
  <c r="FZ247" i="2"/>
  <c r="FX247" i="2"/>
  <c r="FT247" i="2"/>
  <c r="FR247" i="2"/>
  <c r="FN247" i="2"/>
  <c r="FL247" i="2"/>
  <c r="FH247" i="2"/>
  <c r="FF247" i="2"/>
  <c r="FD247" i="2"/>
  <c r="FB247" i="2"/>
  <c r="EX247" i="2"/>
  <c r="EV247" i="2"/>
  <c r="ER247" i="2"/>
  <c r="EP247" i="2"/>
  <c r="EL247" i="2"/>
  <c r="EJ247" i="2"/>
  <c r="EF247" i="2"/>
  <c r="ED247" i="2"/>
  <c r="EB247" i="2"/>
  <c r="DX247" i="2"/>
  <c r="DV247" i="2"/>
  <c r="DT247" i="2"/>
  <c r="DP247" i="2"/>
  <c r="DN247" i="2"/>
  <c r="DJ247" i="2"/>
  <c r="DH247" i="2"/>
  <c r="DD247" i="2"/>
  <c r="DB247" i="2"/>
  <c r="CX247" i="2"/>
  <c r="CV247" i="2"/>
  <c r="CR247" i="2"/>
  <c r="CP247" i="2"/>
  <c r="CL247" i="2"/>
  <c r="CJ247" i="2"/>
  <c r="CF247" i="2"/>
  <c r="CD247" i="2"/>
  <c r="CB247" i="2"/>
  <c r="BZ247" i="2"/>
  <c r="BW247" i="2"/>
  <c r="BS247" i="2"/>
  <c r="BQ247" i="2"/>
  <c r="BO247" i="2"/>
  <c r="BK247" i="2"/>
  <c r="BI247" i="2"/>
  <c r="BE247" i="2"/>
  <c r="BC247" i="2"/>
  <c r="AY247" i="2"/>
  <c r="AW247" i="2"/>
  <c r="AS247" i="2"/>
  <c r="AQ247" i="2"/>
  <c r="AM247" i="2"/>
  <c r="AK247" i="2"/>
  <c r="AI247" i="2"/>
  <c r="AE247" i="2"/>
  <c r="AC247" i="2"/>
  <c r="Y247" i="2"/>
  <c r="W247" i="2"/>
  <c r="S247" i="2"/>
  <c r="Q247" i="2"/>
  <c r="M247" i="2"/>
  <c r="K247" i="2"/>
  <c r="GK246" i="2"/>
  <c r="GL246" i="2" s="1"/>
  <c r="GB245" i="2"/>
  <c r="FV245" i="2"/>
  <c r="FP245" i="2"/>
  <c r="FJ245" i="2"/>
  <c r="EZ245" i="2"/>
  <c r="ET245" i="2"/>
  <c r="EN245" i="2"/>
  <c r="EH245" i="2"/>
  <c r="DZ245" i="2"/>
  <c r="DR245" i="2"/>
  <c r="DL245" i="2"/>
  <c r="DF245" i="2"/>
  <c r="CZ245" i="2"/>
  <c r="CT245" i="2"/>
  <c r="CN245" i="2"/>
  <c r="CH245" i="2"/>
  <c r="BU245" i="2"/>
  <c r="BM245" i="2"/>
  <c r="BG245" i="2"/>
  <c r="BA245" i="2"/>
  <c r="AU245" i="2"/>
  <c r="AO245" i="2"/>
  <c r="AG245" i="2"/>
  <c r="AA245" i="2"/>
  <c r="U245" i="2"/>
  <c r="O245" i="2"/>
  <c r="GB244" i="2"/>
  <c r="FV244" i="2"/>
  <c r="FP244" i="2"/>
  <c r="FJ244" i="2"/>
  <c r="EZ244" i="2"/>
  <c r="ET244" i="2"/>
  <c r="EN244" i="2"/>
  <c r="EH244" i="2"/>
  <c r="DZ244" i="2"/>
  <c r="DR244" i="2"/>
  <c r="DL244" i="2"/>
  <c r="DF244" i="2"/>
  <c r="CZ244" i="2"/>
  <c r="CT244" i="2"/>
  <c r="CN244" i="2"/>
  <c r="CH244" i="2"/>
  <c r="BU244" i="2"/>
  <c r="BM244" i="2"/>
  <c r="BG244" i="2"/>
  <c r="BA244" i="2"/>
  <c r="AU244" i="2"/>
  <c r="AO244" i="2"/>
  <c r="AG244" i="2"/>
  <c r="AA244" i="2"/>
  <c r="GM244" i="2" s="1"/>
  <c r="U244" i="2"/>
  <c r="O244" i="2"/>
  <c r="GB243" i="2"/>
  <c r="FV243" i="2"/>
  <c r="FP243" i="2"/>
  <c r="FJ243" i="2"/>
  <c r="EZ243" i="2"/>
  <c r="ET243" i="2"/>
  <c r="EN243" i="2"/>
  <c r="EH243" i="2"/>
  <c r="DZ243" i="2"/>
  <c r="DR243" i="2"/>
  <c r="DL243" i="2"/>
  <c r="DF243" i="2"/>
  <c r="CZ243" i="2"/>
  <c r="CT243" i="2"/>
  <c r="CN243" i="2"/>
  <c r="CH243" i="2"/>
  <c r="BU243" i="2"/>
  <c r="BM243" i="2"/>
  <c r="BG243" i="2"/>
  <c r="BA243" i="2"/>
  <c r="AU243" i="2"/>
  <c r="AO243" i="2"/>
  <c r="AG243" i="2"/>
  <c r="AA243" i="2"/>
  <c r="U243" i="2"/>
  <c r="O243" i="2"/>
  <c r="GB242" i="2"/>
  <c r="FV242" i="2"/>
  <c r="FP242" i="2"/>
  <c r="FJ242" i="2"/>
  <c r="EZ242" i="2"/>
  <c r="ET242" i="2"/>
  <c r="EN242" i="2"/>
  <c r="EH242" i="2"/>
  <c r="DZ242" i="2"/>
  <c r="DR242" i="2"/>
  <c r="DL242" i="2"/>
  <c r="DF242" i="2"/>
  <c r="CZ242" i="2"/>
  <c r="CT242" i="2"/>
  <c r="CN242" i="2"/>
  <c r="CH242" i="2"/>
  <c r="BU242" i="2"/>
  <c r="BM242" i="2"/>
  <c r="BG242" i="2"/>
  <c r="BA242" i="2"/>
  <c r="AU242" i="2"/>
  <c r="AO242" i="2"/>
  <c r="AG242" i="2"/>
  <c r="AA242" i="2"/>
  <c r="U242" i="2"/>
  <c r="O242" i="2"/>
  <c r="GB241" i="2"/>
  <c r="FV241" i="2"/>
  <c r="FP241" i="2"/>
  <c r="FJ241" i="2"/>
  <c r="EZ241" i="2"/>
  <c r="ET241" i="2"/>
  <c r="EN241" i="2"/>
  <c r="EH241" i="2"/>
  <c r="DZ241" i="2"/>
  <c r="DR241" i="2"/>
  <c r="DL241" i="2"/>
  <c r="DF241" i="2"/>
  <c r="CZ241" i="2"/>
  <c r="CT241" i="2"/>
  <c r="CN241" i="2"/>
  <c r="CH241" i="2"/>
  <c r="BU241" i="2"/>
  <c r="BM241" i="2"/>
  <c r="BG241" i="2"/>
  <c r="BA241" i="2"/>
  <c r="AU241" i="2"/>
  <c r="AO241" i="2"/>
  <c r="AG241" i="2"/>
  <c r="AA241" i="2"/>
  <c r="U241" i="2"/>
  <c r="O241" i="2"/>
  <c r="GB240" i="2"/>
  <c r="FV240" i="2"/>
  <c r="FP240" i="2"/>
  <c r="FJ240" i="2"/>
  <c r="EZ240" i="2"/>
  <c r="ET240" i="2"/>
  <c r="EN240" i="2"/>
  <c r="EH240" i="2"/>
  <c r="DZ240" i="2"/>
  <c r="DR240" i="2"/>
  <c r="DL240" i="2"/>
  <c r="DF240" i="2"/>
  <c r="CZ240" i="2"/>
  <c r="CT240" i="2"/>
  <c r="CN240" i="2"/>
  <c r="CH240" i="2"/>
  <c r="BU240" i="2"/>
  <c r="BM240" i="2"/>
  <c r="BG240" i="2"/>
  <c r="BA240" i="2"/>
  <c r="AU240" i="2"/>
  <c r="AO240" i="2"/>
  <c r="AG240" i="2"/>
  <c r="AA240" i="2"/>
  <c r="U240" i="2"/>
  <c r="O240" i="2"/>
  <c r="GB239" i="2"/>
  <c r="FV239" i="2"/>
  <c r="FP239" i="2"/>
  <c r="FJ239" i="2"/>
  <c r="EZ239" i="2"/>
  <c r="ET239" i="2"/>
  <c r="EN239" i="2"/>
  <c r="EH239" i="2"/>
  <c r="DZ239" i="2"/>
  <c r="DR239" i="2"/>
  <c r="DL239" i="2"/>
  <c r="DF239" i="2"/>
  <c r="CZ239" i="2"/>
  <c r="CT239" i="2"/>
  <c r="CN239" i="2"/>
  <c r="CH239" i="2"/>
  <c r="BU239" i="2"/>
  <c r="BM239" i="2"/>
  <c r="BG239" i="2"/>
  <c r="BA239" i="2"/>
  <c r="AU239" i="2"/>
  <c r="AO239" i="2"/>
  <c r="AG239" i="2"/>
  <c r="AA239" i="2"/>
  <c r="U239" i="2"/>
  <c r="O239" i="2"/>
  <c r="GB238" i="2"/>
  <c r="FV238" i="2"/>
  <c r="FP238" i="2"/>
  <c r="FJ238" i="2"/>
  <c r="EZ238" i="2"/>
  <c r="ET238" i="2"/>
  <c r="EN238" i="2"/>
  <c r="EH238" i="2"/>
  <c r="DZ238" i="2"/>
  <c r="DR238" i="2"/>
  <c r="DL238" i="2"/>
  <c r="DF238" i="2"/>
  <c r="CZ238" i="2"/>
  <c r="CT238" i="2"/>
  <c r="CN238" i="2"/>
  <c r="CH238" i="2"/>
  <c r="BU238" i="2"/>
  <c r="BM238" i="2"/>
  <c r="BG238" i="2"/>
  <c r="BA238" i="2"/>
  <c r="AU238" i="2"/>
  <c r="AO238" i="2"/>
  <c r="AG238" i="2"/>
  <c r="AA238" i="2"/>
  <c r="U238" i="2"/>
  <c r="O238" i="2"/>
  <c r="GB237" i="2"/>
  <c r="FV237" i="2"/>
  <c r="FP237" i="2"/>
  <c r="FJ237" i="2"/>
  <c r="EZ237" i="2"/>
  <c r="ET237" i="2"/>
  <c r="EN237" i="2"/>
  <c r="EH237" i="2"/>
  <c r="DZ237" i="2"/>
  <c r="DR237" i="2"/>
  <c r="DL237" i="2"/>
  <c r="DF237" i="2"/>
  <c r="CZ237" i="2"/>
  <c r="CT237" i="2"/>
  <c r="CN237" i="2"/>
  <c r="CH237" i="2"/>
  <c r="BU237" i="2"/>
  <c r="BM237" i="2"/>
  <c r="BG237" i="2"/>
  <c r="BA237" i="2"/>
  <c r="AU237" i="2"/>
  <c r="AO237" i="2"/>
  <c r="AG237" i="2"/>
  <c r="AA237" i="2"/>
  <c r="U237" i="2"/>
  <c r="O237" i="2"/>
  <c r="GB236" i="2"/>
  <c r="FV236" i="2"/>
  <c r="FP236" i="2"/>
  <c r="FJ236" i="2"/>
  <c r="EZ236" i="2"/>
  <c r="ET236" i="2"/>
  <c r="EN236" i="2"/>
  <c r="EH236" i="2"/>
  <c r="DZ236" i="2"/>
  <c r="DR236" i="2"/>
  <c r="DL236" i="2"/>
  <c r="DF236" i="2"/>
  <c r="CZ236" i="2"/>
  <c r="CT236" i="2"/>
  <c r="CN236" i="2"/>
  <c r="CH236" i="2"/>
  <c r="BU236" i="2"/>
  <c r="BM236" i="2"/>
  <c r="BG236" i="2"/>
  <c r="BA236" i="2"/>
  <c r="AU236" i="2"/>
  <c r="AO236" i="2"/>
  <c r="AG236" i="2"/>
  <c r="AA236" i="2"/>
  <c r="U236" i="2"/>
  <c r="O236" i="2"/>
  <c r="GB235" i="2"/>
  <c r="FV235" i="2"/>
  <c r="FP235" i="2"/>
  <c r="FJ235" i="2"/>
  <c r="EZ235" i="2"/>
  <c r="ET235" i="2"/>
  <c r="EN235" i="2"/>
  <c r="EH235" i="2"/>
  <c r="DZ235" i="2"/>
  <c r="DR235" i="2"/>
  <c r="DL235" i="2"/>
  <c r="DF235" i="2"/>
  <c r="CZ235" i="2"/>
  <c r="CT235" i="2"/>
  <c r="CN235" i="2"/>
  <c r="CH235" i="2"/>
  <c r="BU235" i="2"/>
  <c r="BM235" i="2"/>
  <c r="BG235" i="2"/>
  <c r="BA235" i="2"/>
  <c r="AU235" i="2"/>
  <c r="AO235" i="2"/>
  <c r="AG235" i="2"/>
  <c r="AA235" i="2"/>
  <c r="U235" i="2"/>
  <c r="O235" i="2"/>
  <c r="GB234" i="2"/>
  <c r="FV234" i="2"/>
  <c r="FP234" i="2"/>
  <c r="FJ234" i="2"/>
  <c r="EZ234" i="2"/>
  <c r="ET234" i="2"/>
  <c r="EN234" i="2"/>
  <c r="EH234" i="2"/>
  <c r="DZ234" i="2"/>
  <c r="DR234" i="2"/>
  <c r="DL234" i="2"/>
  <c r="DF234" i="2"/>
  <c r="CZ234" i="2"/>
  <c r="CT234" i="2"/>
  <c r="CN234" i="2"/>
  <c r="CH234" i="2"/>
  <c r="BU234" i="2"/>
  <c r="BM234" i="2"/>
  <c r="BG234" i="2"/>
  <c r="BA234" i="2"/>
  <c r="AU234" i="2"/>
  <c r="AO234" i="2"/>
  <c r="AG234" i="2"/>
  <c r="AA234" i="2"/>
  <c r="U234" i="2"/>
  <c r="O234" i="2"/>
  <c r="GB233" i="2"/>
  <c r="FV233" i="2"/>
  <c r="FP233" i="2"/>
  <c r="FJ233" i="2"/>
  <c r="EZ233" i="2"/>
  <c r="ET233" i="2"/>
  <c r="EN233" i="2"/>
  <c r="EH233" i="2"/>
  <c r="DZ233" i="2"/>
  <c r="DR233" i="2"/>
  <c r="DL233" i="2"/>
  <c r="DF233" i="2"/>
  <c r="CZ233" i="2"/>
  <c r="CT233" i="2"/>
  <c r="CN233" i="2"/>
  <c r="CH233" i="2"/>
  <c r="BU233" i="2"/>
  <c r="BM233" i="2"/>
  <c r="BG233" i="2"/>
  <c r="BA233" i="2"/>
  <c r="AU233" i="2"/>
  <c r="AO233" i="2"/>
  <c r="AG233" i="2"/>
  <c r="AA233" i="2"/>
  <c r="U233" i="2"/>
  <c r="O233" i="2"/>
  <c r="GL232" i="2"/>
  <c r="GL231" i="2"/>
  <c r="GL230" i="2"/>
  <c r="GL228" i="2"/>
  <c r="FZ227" i="2"/>
  <c r="FX227" i="2"/>
  <c r="FT227" i="2"/>
  <c r="FR227" i="2"/>
  <c r="FN227" i="2"/>
  <c r="FL227" i="2"/>
  <c r="FH227" i="2"/>
  <c r="FF227" i="2"/>
  <c r="FD227" i="2"/>
  <c r="FB227" i="2"/>
  <c r="EX227" i="2"/>
  <c r="EV227" i="2"/>
  <c r="ER227" i="2"/>
  <c r="EP227" i="2"/>
  <c r="EL227" i="2"/>
  <c r="EJ227" i="2"/>
  <c r="EF227" i="2"/>
  <c r="ED227" i="2"/>
  <c r="EB227" i="2"/>
  <c r="DX227" i="2"/>
  <c r="DV227" i="2"/>
  <c r="DT227" i="2"/>
  <c r="DP227" i="2"/>
  <c r="DN227" i="2"/>
  <c r="DJ227" i="2"/>
  <c r="DH227" i="2"/>
  <c r="DD227" i="2"/>
  <c r="DB227" i="2"/>
  <c r="CX227" i="2"/>
  <c r="CV227" i="2"/>
  <c r="CR227" i="2"/>
  <c r="CP227" i="2"/>
  <c r="CL227" i="2"/>
  <c r="CJ227" i="2"/>
  <c r="CF227" i="2"/>
  <c r="CD227" i="2"/>
  <c r="CB227" i="2"/>
  <c r="BZ227" i="2"/>
  <c r="BW227" i="2"/>
  <c r="BS227" i="2"/>
  <c r="BQ227" i="2"/>
  <c r="BO227" i="2"/>
  <c r="BN227" i="2"/>
  <c r="BK227" i="2"/>
  <c r="BI227" i="2"/>
  <c r="BE227" i="2"/>
  <c r="BC227" i="2"/>
  <c r="AY227" i="2"/>
  <c r="AW227" i="2"/>
  <c r="AS227" i="2"/>
  <c r="AQ227" i="2"/>
  <c r="AM227" i="2"/>
  <c r="AK227" i="2"/>
  <c r="AI227" i="2"/>
  <c r="AE227" i="2"/>
  <c r="AC227" i="2"/>
  <c r="Y227" i="2"/>
  <c r="W227" i="2"/>
  <c r="Q227" i="2"/>
  <c r="M227" i="2"/>
  <c r="K227" i="2"/>
  <c r="GB226" i="2"/>
  <c r="FV226" i="2"/>
  <c r="FP226" i="2"/>
  <c r="FJ226" i="2"/>
  <c r="EZ226" i="2"/>
  <c r="ET226" i="2"/>
  <c r="EN226" i="2"/>
  <c r="EH226" i="2"/>
  <c r="DZ226" i="2"/>
  <c r="DR226" i="2"/>
  <c r="DL226" i="2"/>
  <c r="DF226" i="2"/>
  <c r="CZ226" i="2"/>
  <c r="CT226" i="2"/>
  <c r="CN226" i="2"/>
  <c r="CH226" i="2"/>
  <c r="BU226" i="2"/>
  <c r="BM226" i="2"/>
  <c r="BG226" i="2"/>
  <c r="BA226" i="2"/>
  <c r="AU226" i="2"/>
  <c r="AO226" i="2"/>
  <c r="AG226" i="2"/>
  <c r="AA226" i="2"/>
  <c r="U226" i="2"/>
  <c r="O226" i="2"/>
  <c r="GB225" i="2"/>
  <c r="FV225" i="2"/>
  <c r="FP225" i="2"/>
  <c r="FJ225" i="2"/>
  <c r="EZ225" i="2"/>
  <c r="ET225" i="2"/>
  <c r="EN225" i="2"/>
  <c r="EH225" i="2"/>
  <c r="DZ225" i="2"/>
  <c r="DR225" i="2"/>
  <c r="DL225" i="2"/>
  <c r="DF225" i="2"/>
  <c r="CZ225" i="2"/>
  <c r="CT225" i="2"/>
  <c r="CN225" i="2"/>
  <c r="CH225" i="2"/>
  <c r="BU225" i="2"/>
  <c r="BM225" i="2"/>
  <c r="BG225" i="2"/>
  <c r="BA225" i="2"/>
  <c r="AU225" i="2"/>
  <c r="AO225" i="2"/>
  <c r="AG225" i="2"/>
  <c r="AA225" i="2"/>
  <c r="U225" i="2"/>
  <c r="O225" i="2"/>
  <c r="GB224" i="2"/>
  <c r="FV224" i="2"/>
  <c r="FP224" i="2"/>
  <c r="FJ224" i="2"/>
  <c r="EZ224" i="2"/>
  <c r="ET224" i="2"/>
  <c r="EN224" i="2"/>
  <c r="EH224" i="2"/>
  <c r="DZ224" i="2"/>
  <c r="DR224" i="2"/>
  <c r="DL224" i="2"/>
  <c r="DF224" i="2"/>
  <c r="CZ224" i="2"/>
  <c r="CZ227" i="2" s="1"/>
  <c r="CT224" i="2"/>
  <c r="CN224" i="2"/>
  <c r="CH224" i="2"/>
  <c r="BU224" i="2"/>
  <c r="BM224" i="2"/>
  <c r="BG224" i="2"/>
  <c r="BA224" i="2"/>
  <c r="AU224" i="2"/>
  <c r="AO224" i="2"/>
  <c r="AO227" i="2" s="1"/>
  <c r="AG224" i="2"/>
  <c r="AA224" i="2"/>
  <c r="S224" i="2"/>
  <c r="S227" i="2" s="1"/>
  <c r="O224" i="2"/>
  <c r="GL223" i="2"/>
  <c r="GL222" i="2"/>
  <c r="FZ221" i="2"/>
  <c r="FZ229" i="2" s="1"/>
  <c r="FZ249" i="2" s="1"/>
  <c r="FZ253" i="2" s="1"/>
  <c r="FX221" i="2"/>
  <c r="FT221" i="2"/>
  <c r="FT229" i="2" s="1"/>
  <c r="FT249" i="2" s="1"/>
  <c r="FT253" i="2" s="1"/>
  <c r="FR221" i="2"/>
  <c r="FN221" i="2"/>
  <c r="FN229" i="2" s="1"/>
  <c r="FN249" i="2" s="1"/>
  <c r="FN253" i="2" s="1"/>
  <c r="FL221" i="2"/>
  <c r="FH221" i="2"/>
  <c r="FF221" i="2"/>
  <c r="FF229" i="2" s="1"/>
  <c r="FD221" i="2"/>
  <c r="FD229" i="2" s="1"/>
  <c r="FB221" i="2"/>
  <c r="EX221" i="2"/>
  <c r="EX229" i="2" s="1"/>
  <c r="EX249" i="2" s="1"/>
  <c r="EX253" i="2" s="1"/>
  <c r="EV221" i="2"/>
  <c r="ER221" i="2"/>
  <c r="EP221" i="2"/>
  <c r="EL221" i="2"/>
  <c r="EJ221" i="2"/>
  <c r="EJ229" i="2" s="1"/>
  <c r="EF221" i="2"/>
  <c r="ED221" i="2"/>
  <c r="EB221" i="2"/>
  <c r="EB229" i="2" s="1"/>
  <c r="EB249" i="2" s="1"/>
  <c r="EB253" i="2" s="1"/>
  <c r="DX221" i="2"/>
  <c r="DV221" i="2"/>
  <c r="DT221" i="2"/>
  <c r="DP221" i="2"/>
  <c r="DN221" i="2"/>
  <c r="DN229" i="2" s="1"/>
  <c r="DJ221" i="2"/>
  <c r="DJ229" i="2" s="1"/>
  <c r="DJ249" i="2" s="1"/>
  <c r="DJ253" i="2" s="1"/>
  <c r="DH221" i="2"/>
  <c r="DD221" i="2"/>
  <c r="DD229" i="2" s="1"/>
  <c r="DD249" i="2" s="1"/>
  <c r="DD253" i="2" s="1"/>
  <c r="DB221" i="2"/>
  <c r="CX221" i="2"/>
  <c r="CV221" i="2"/>
  <c r="CR221" i="2"/>
  <c r="CR229" i="2" s="1"/>
  <c r="CP221" i="2"/>
  <c r="CP229" i="2" s="1"/>
  <c r="CL221" i="2"/>
  <c r="CL229" i="2" s="1"/>
  <c r="CL249" i="2" s="1"/>
  <c r="CL253" i="2" s="1"/>
  <c r="CJ221" i="2"/>
  <c r="CJ229" i="2" s="1"/>
  <c r="CF221" i="2"/>
  <c r="CF229" i="2" s="1"/>
  <c r="CF249" i="2" s="1"/>
  <c r="CF253" i="2" s="1"/>
  <c r="CD221" i="2"/>
  <c r="CB221" i="2"/>
  <c r="BZ221" i="2"/>
  <c r="BZ229" i="2" s="1"/>
  <c r="BW221" i="2"/>
  <c r="BW229" i="2" s="1"/>
  <c r="BS221" i="2"/>
  <c r="BS229" i="2" s="1"/>
  <c r="BQ221" i="2"/>
  <c r="BQ229" i="2" s="1"/>
  <c r="BQ249" i="2" s="1"/>
  <c r="BQ253" i="2" s="1"/>
  <c r="I397" i="2" s="1"/>
  <c r="BO221" i="2"/>
  <c r="BO229" i="2" s="1"/>
  <c r="BO249" i="2" s="1"/>
  <c r="BO253" i="2" s="1"/>
  <c r="BK221" i="2"/>
  <c r="BK229" i="2" s="1"/>
  <c r="BK249" i="2" s="1"/>
  <c r="BK253" i="2" s="1"/>
  <c r="BI221" i="2"/>
  <c r="BE221" i="2"/>
  <c r="BE229" i="2" s="1"/>
  <c r="BE249" i="2" s="1"/>
  <c r="BE253" i="2" s="1"/>
  <c r="BC221" i="2"/>
  <c r="AY221" i="2"/>
  <c r="AW221" i="2"/>
  <c r="AS221" i="2"/>
  <c r="AS229" i="2" s="1"/>
  <c r="AS249" i="2" s="1"/>
  <c r="AS253" i="2" s="1"/>
  <c r="AQ221" i="2"/>
  <c r="AQ229" i="2" s="1"/>
  <c r="AQ249" i="2" s="1"/>
  <c r="AQ253" i="2" s="1"/>
  <c r="AM221" i="2"/>
  <c r="AM229" i="2" s="1"/>
  <c r="AM249" i="2" s="1"/>
  <c r="AM253" i="2" s="1"/>
  <c r="AK221" i="2"/>
  <c r="AK229" i="2" s="1"/>
  <c r="AK249" i="2" s="1"/>
  <c r="AK253" i="2" s="1"/>
  <c r="I391" i="2" s="1"/>
  <c r="AI221" i="2"/>
  <c r="AE221" i="2"/>
  <c r="AC221" i="2"/>
  <c r="Y221" i="2"/>
  <c r="W221" i="2"/>
  <c r="W229" i="2" s="1"/>
  <c r="W249" i="2" s="1"/>
  <c r="W253" i="2" s="1"/>
  <c r="S221" i="2"/>
  <c r="Q221" i="2"/>
  <c r="M221" i="2"/>
  <c r="M229" i="2" s="1"/>
  <c r="M249" i="2" s="1"/>
  <c r="M253" i="2" s="1"/>
  <c r="K221" i="2"/>
  <c r="GB220" i="2"/>
  <c r="FV220" i="2"/>
  <c r="FP220" i="2"/>
  <c r="FJ220" i="2"/>
  <c r="EZ220" i="2"/>
  <c r="ET220" i="2"/>
  <c r="EN220" i="2"/>
  <c r="EH220" i="2"/>
  <c r="DZ220" i="2"/>
  <c r="DR220" i="2"/>
  <c r="DL220" i="2"/>
  <c r="DF220" i="2"/>
  <c r="CZ220" i="2"/>
  <c r="CT220" i="2"/>
  <c r="CN220" i="2"/>
  <c r="CH220" i="2"/>
  <c r="BU220" i="2"/>
  <c r="BM220" i="2"/>
  <c r="BG220" i="2"/>
  <c r="BA220" i="2"/>
  <c r="AU220" i="2"/>
  <c r="AO220" i="2"/>
  <c r="AG220" i="2"/>
  <c r="AA220" i="2"/>
  <c r="U220" i="2"/>
  <c r="O220" i="2"/>
  <c r="GB219" i="2"/>
  <c r="FV219" i="2"/>
  <c r="FP219" i="2"/>
  <c r="FJ219" i="2"/>
  <c r="EZ219" i="2"/>
  <c r="ET219" i="2"/>
  <c r="EN219" i="2"/>
  <c r="EH219" i="2"/>
  <c r="DZ219" i="2"/>
  <c r="DR219" i="2"/>
  <c r="DL219" i="2"/>
  <c r="DF219" i="2"/>
  <c r="CZ219" i="2"/>
  <c r="CT219" i="2"/>
  <c r="CN219" i="2"/>
  <c r="CH219" i="2"/>
  <c r="BU219" i="2"/>
  <c r="BM219" i="2"/>
  <c r="BG219" i="2"/>
  <c r="BA219" i="2"/>
  <c r="AU219" i="2"/>
  <c r="AO219" i="2"/>
  <c r="AG219" i="2"/>
  <c r="AA219" i="2"/>
  <c r="U219" i="2"/>
  <c r="O219" i="2"/>
  <c r="GB218" i="2"/>
  <c r="FV218" i="2"/>
  <c r="FP218" i="2"/>
  <c r="FJ218" i="2"/>
  <c r="EZ218" i="2"/>
  <c r="ET218" i="2"/>
  <c r="EN218" i="2"/>
  <c r="EH218" i="2"/>
  <c r="DZ218" i="2"/>
  <c r="DR218" i="2"/>
  <c r="DL218" i="2"/>
  <c r="DF218" i="2"/>
  <c r="CZ218" i="2"/>
  <c r="CT218" i="2"/>
  <c r="CN218" i="2"/>
  <c r="CH218" i="2"/>
  <c r="BU218" i="2"/>
  <c r="BM218" i="2"/>
  <c r="BG218" i="2"/>
  <c r="BA218" i="2"/>
  <c r="AU218" i="2"/>
  <c r="AO218" i="2"/>
  <c r="AG218" i="2"/>
  <c r="AA218" i="2"/>
  <c r="U218" i="2"/>
  <c r="O218" i="2"/>
  <c r="GB217" i="2"/>
  <c r="FV217" i="2"/>
  <c r="FP217" i="2"/>
  <c r="FJ217" i="2"/>
  <c r="EZ217" i="2"/>
  <c r="ET217" i="2"/>
  <c r="ET221" i="2" s="1"/>
  <c r="EN217" i="2"/>
  <c r="EH217" i="2"/>
  <c r="DZ217" i="2"/>
  <c r="DR217" i="2"/>
  <c r="DL217" i="2"/>
  <c r="DF217" i="2"/>
  <c r="CZ217" i="2"/>
  <c r="CT217" i="2"/>
  <c r="CT221" i="2" s="1"/>
  <c r="CN217" i="2"/>
  <c r="CH217" i="2"/>
  <c r="BU217" i="2"/>
  <c r="BM217" i="2"/>
  <c r="BG217" i="2"/>
  <c r="BA217" i="2"/>
  <c r="AU217" i="2"/>
  <c r="AO217" i="2"/>
  <c r="AO221" i="2" s="1"/>
  <c r="AG217" i="2"/>
  <c r="AA217" i="2"/>
  <c r="U217" i="2"/>
  <c r="O217" i="2"/>
  <c r="GL216" i="2"/>
  <c r="FR216" i="2"/>
  <c r="FL216" i="2"/>
  <c r="FF216" i="2"/>
  <c r="FD216" i="2"/>
  <c r="EV216" i="2"/>
  <c r="EP216" i="2"/>
  <c r="EJ216" i="2"/>
  <c r="ED216" i="2"/>
  <c r="DV216" i="2"/>
  <c r="CJ216" i="2"/>
  <c r="CD216" i="2"/>
  <c r="CB216" i="2"/>
  <c r="GL215" i="2"/>
  <c r="A215" i="2"/>
  <c r="GL214" i="2"/>
  <c r="GL213" i="2"/>
  <c r="GL212" i="2"/>
  <c r="GL211" i="2"/>
  <c r="GL210" i="2"/>
  <c r="GL209" i="2"/>
  <c r="GL208" i="2"/>
  <c r="FZ207" i="2"/>
  <c r="FX207" i="2"/>
  <c r="FT207" i="2"/>
  <c r="FR207" i="2"/>
  <c r="FN207" i="2"/>
  <c r="FL207" i="2"/>
  <c r="FH207" i="2"/>
  <c r="FF207" i="2"/>
  <c r="FD207" i="2"/>
  <c r="FB207" i="2"/>
  <c r="EX207" i="2"/>
  <c r="EV207" i="2"/>
  <c r="ER207" i="2"/>
  <c r="EP207" i="2"/>
  <c r="EL207" i="2"/>
  <c r="EJ207" i="2"/>
  <c r="EF207" i="2"/>
  <c r="ED207" i="2"/>
  <c r="EB207" i="2"/>
  <c r="DX207" i="2"/>
  <c r="DV207" i="2"/>
  <c r="DT207" i="2"/>
  <c r="DP207" i="2"/>
  <c r="DN207" i="2"/>
  <c r="DJ207" i="2"/>
  <c r="DH207" i="2"/>
  <c r="DD207" i="2"/>
  <c r="DB207" i="2"/>
  <c r="CX207" i="2"/>
  <c r="CV207" i="2"/>
  <c r="CR207" i="2"/>
  <c r="CP207" i="2"/>
  <c r="CL207" i="2"/>
  <c r="CJ207" i="2"/>
  <c r="CF207" i="2"/>
  <c r="CD207" i="2"/>
  <c r="CB207" i="2"/>
  <c r="BZ207" i="2"/>
  <c r="BW207" i="2"/>
  <c r="BS207" i="2"/>
  <c r="BQ207" i="2"/>
  <c r="BO207" i="2"/>
  <c r="BK207" i="2"/>
  <c r="BI207" i="2"/>
  <c r="BE207" i="2"/>
  <c r="BC207" i="2"/>
  <c r="AY207" i="2"/>
  <c r="AW207" i="2"/>
  <c r="AS207" i="2"/>
  <c r="AQ207" i="2"/>
  <c r="AM207" i="2"/>
  <c r="AK207" i="2"/>
  <c r="AI207" i="2"/>
  <c r="AE207" i="2"/>
  <c r="AC207" i="2"/>
  <c r="Y207" i="2"/>
  <c r="W207" i="2"/>
  <c r="S207" i="2"/>
  <c r="Q207" i="2"/>
  <c r="M207" i="2"/>
  <c r="K207" i="2"/>
  <c r="GB206" i="2"/>
  <c r="FV206" i="2"/>
  <c r="FP206" i="2"/>
  <c r="FJ206" i="2"/>
  <c r="EZ206" i="2"/>
  <c r="ET206" i="2"/>
  <c r="EN206" i="2"/>
  <c r="EH206" i="2"/>
  <c r="DZ206" i="2"/>
  <c r="DR206" i="2"/>
  <c r="DL206" i="2"/>
  <c r="DF206" i="2"/>
  <c r="CZ206" i="2"/>
  <c r="CT206" i="2"/>
  <c r="CN206" i="2"/>
  <c r="CH206" i="2"/>
  <c r="BU206" i="2"/>
  <c r="BM206" i="2"/>
  <c r="BG206" i="2"/>
  <c r="BA206" i="2"/>
  <c r="AU206" i="2"/>
  <c r="AO206" i="2"/>
  <c r="AG206" i="2"/>
  <c r="AA206" i="2"/>
  <c r="U206" i="2"/>
  <c r="O206" i="2"/>
  <c r="GB205" i="2"/>
  <c r="FV205" i="2"/>
  <c r="FP205" i="2"/>
  <c r="FJ205" i="2"/>
  <c r="EZ205" i="2"/>
  <c r="ET205" i="2"/>
  <c r="EN205" i="2"/>
  <c r="EH205" i="2"/>
  <c r="DZ205" i="2"/>
  <c r="DR205" i="2"/>
  <c r="DL205" i="2"/>
  <c r="DF205" i="2"/>
  <c r="CZ205" i="2"/>
  <c r="CT205" i="2"/>
  <c r="CN205" i="2"/>
  <c r="CH205" i="2"/>
  <c r="BU205" i="2"/>
  <c r="BM205" i="2"/>
  <c r="BG205" i="2"/>
  <c r="BA205" i="2"/>
  <c r="AU205" i="2"/>
  <c r="AO205" i="2"/>
  <c r="AG205" i="2"/>
  <c r="AA205" i="2"/>
  <c r="U205" i="2"/>
  <c r="O205" i="2"/>
  <c r="GB204" i="2"/>
  <c r="FV204" i="2"/>
  <c r="FP204" i="2"/>
  <c r="FJ204" i="2"/>
  <c r="EZ204" i="2"/>
  <c r="ET204" i="2"/>
  <c r="EN204" i="2"/>
  <c r="EH204" i="2"/>
  <c r="DZ204" i="2"/>
  <c r="DR204" i="2"/>
  <c r="DL204" i="2"/>
  <c r="DF204" i="2"/>
  <c r="CZ204" i="2"/>
  <c r="CT204" i="2"/>
  <c r="CN204" i="2"/>
  <c r="CH204" i="2"/>
  <c r="BU204" i="2"/>
  <c r="BM204" i="2"/>
  <c r="BG204" i="2"/>
  <c r="BA204" i="2"/>
  <c r="AU204" i="2"/>
  <c r="AO204" i="2"/>
  <c r="AG204" i="2"/>
  <c r="AA204" i="2"/>
  <c r="U204" i="2"/>
  <c r="O204" i="2"/>
  <c r="GB203" i="2"/>
  <c r="FV203" i="2"/>
  <c r="FP203" i="2"/>
  <c r="FJ203" i="2"/>
  <c r="EZ203" i="2"/>
  <c r="ET203" i="2"/>
  <c r="EN203" i="2"/>
  <c r="EH203" i="2"/>
  <c r="DZ203" i="2"/>
  <c r="DR203" i="2"/>
  <c r="DL203" i="2"/>
  <c r="DF203" i="2"/>
  <c r="CZ203" i="2"/>
  <c r="CT203" i="2"/>
  <c r="CN203" i="2"/>
  <c r="CH203" i="2"/>
  <c r="BU203" i="2"/>
  <c r="BM203" i="2"/>
  <c r="BG203" i="2"/>
  <c r="BA203" i="2"/>
  <c r="AU203" i="2"/>
  <c r="AO203" i="2"/>
  <c r="AG203" i="2"/>
  <c r="AA203" i="2"/>
  <c r="U203" i="2"/>
  <c r="O203" i="2"/>
  <c r="GB202" i="2"/>
  <c r="FV202" i="2"/>
  <c r="FP202" i="2"/>
  <c r="FJ202" i="2"/>
  <c r="EZ202" i="2"/>
  <c r="ET202" i="2"/>
  <c r="EN202" i="2"/>
  <c r="EH202" i="2"/>
  <c r="DZ202" i="2"/>
  <c r="DR202" i="2"/>
  <c r="DL202" i="2"/>
  <c r="DF202" i="2"/>
  <c r="CZ202" i="2"/>
  <c r="CT202" i="2"/>
  <c r="CN202" i="2"/>
  <c r="CH202" i="2"/>
  <c r="BU202" i="2"/>
  <c r="BM202" i="2"/>
  <c r="BG202" i="2"/>
  <c r="BA202" i="2"/>
  <c r="AU202" i="2"/>
  <c r="AO202" i="2"/>
  <c r="AG202" i="2"/>
  <c r="AA202" i="2"/>
  <c r="U202" i="2"/>
  <c r="O202" i="2"/>
  <c r="GB201" i="2"/>
  <c r="FV201" i="2"/>
  <c r="FP201" i="2"/>
  <c r="FJ201" i="2"/>
  <c r="EZ201" i="2"/>
  <c r="ET201" i="2"/>
  <c r="EN201" i="2"/>
  <c r="EH201" i="2"/>
  <c r="DZ201" i="2"/>
  <c r="DR201" i="2"/>
  <c r="DL201" i="2"/>
  <c r="DF201" i="2"/>
  <c r="CZ201" i="2"/>
  <c r="CT201" i="2"/>
  <c r="CN201" i="2"/>
  <c r="CH201" i="2"/>
  <c r="BU201" i="2"/>
  <c r="BM201" i="2"/>
  <c r="BG201" i="2"/>
  <c r="BA201" i="2"/>
  <c r="AU201" i="2"/>
  <c r="AO201" i="2"/>
  <c r="AG201" i="2"/>
  <c r="AA201" i="2"/>
  <c r="U201" i="2"/>
  <c r="O201" i="2"/>
  <c r="GB200" i="2"/>
  <c r="FV200" i="2"/>
  <c r="FP200" i="2"/>
  <c r="FJ200" i="2"/>
  <c r="EZ200" i="2"/>
  <c r="ET200" i="2"/>
  <c r="EN200" i="2"/>
  <c r="EH200" i="2"/>
  <c r="DZ200" i="2"/>
  <c r="DR200" i="2"/>
  <c r="DL200" i="2"/>
  <c r="DF200" i="2"/>
  <c r="CZ200" i="2"/>
  <c r="CT200" i="2"/>
  <c r="CN200" i="2"/>
  <c r="CH200" i="2"/>
  <c r="BU200" i="2"/>
  <c r="BM200" i="2"/>
  <c r="BG200" i="2"/>
  <c r="BA200" i="2"/>
  <c r="AU200" i="2"/>
  <c r="AO200" i="2"/>
  <c r="AG200" i="2"/>
  <c r="AA200" i="2"/>
  <c r="U200" i="2"/>
  <c r="O200" i="2"/>
  <c r="GB199" i="2"/>
  <c r="FV199" i="2"/>
  <c r="FV207" i="2" s="1"/>
  <c r="FP199" i="2"/>
  <c r="FJ199" i="2"/>
  <c r="EZ199" i="2"/>
  <c r="ET199" i="2"/>
  <c r="EN199" i="2"/>
  <c r="EH199" i="2"/>
  <c r="DZ199" i="2"/>
  <c r="DR199" i="2"/>
  <c r="DL199" i="2"/>
  <c r="DF199" i="2"/>
  <c r="CZ199" i="2"/>
  <c r="CT199" i="2"/>
  <c r="CN199" i="2"/>
  <c r="CH199" i="2"/>
  <c r="BU199" i="2"/>
  <c r="BM199" i="2"/>
  <c r="BG199" i="2"/>
  <c r="BA199" i="2"/>
  <c r="AU199" i="2"/>
  <c r="AO199" i="2"/>
  <c r="AG199" i="2"/>
  <c r="AA199" i="2"/>
  <c r="U199" i="2"/>
  <c r="O199" i="2"/>
  <c r="GL198" i="2"/>
  <c r="GL197" i="2"/>
  <c r="GB196" i="2"/>
  <c r="FV196" i="2"/>
  <c r="FP196" i="2"/>
  <c r="FJ196" i="2"/>
  <c r="EZ196" i="2"/>
  <c r="ET196" i="2"/>
  <c r="EN196" i="2"/>
  <c r="EH196" i="2"/>
  <c r="DZ196" i="2"/>
  <c r="DR196" i="2"/>
  <c r="DL196" i="2"/>
  <c r="DF196" i="2"/>
  <c r="CZ196" i="2"/>
  <c r="CT196" i="2"/>
  <c r="CN196" i="2"/>
  <c r="CH196" i="2"/>
  <c r="BU196" i="2"/>
  <c r="BM196" i="2"/>
  <c r="BG196" i="2"/>
  <c r="BA196" i="2"/>
  <c r="AU196" i="2"/>
  <c r="AO196" i="2"/>
  <c r="AG196" i="2"/>
  <c r="AA196" i="2"/>
  <c r="U196" i="2"/>
  <c r="O196" i="2"/>
  <c r="GL195" i="2"/>
  <c r="GB194" i="2"/>
  <c r="FV194" i="2"/>
  <c r="FP194" i="2"/>
  <c r="FJ194" i="2"/>
  <c r="EZ194" i="2"/>
  <c r="ET194" i="2"/>
  <c r="EN194" i="2"/>
  <c r="EH194" i="2"/>
  <c r="DZ194" i="2"/>
  <c r="DR194" i="2"/>
  <c r="DL194" i="2"/>
  <c r="DF194" i="2"/>
  <c r="CZ194" i="2"/>
  <c r="CT194" i="2"/>
  <c r="CN194" i="2"/>
  <c r="CH194" i="2"/>
  <c r="BU194" i="2"/>
  <c r="BM194" i="2"/>
  <c r="BG194" i="2"/>
  <c r="BA194" i="2"/>
  <c r="AU194" i="2"/>
  <c r="AO194" i="2"/>
  <c r="AG194" i="2"/>
  <c r="AA194" i="2"/>
  <c r="U194" i="2"/>
  <c r="O194" i="2"/>
  <c r="GL193" i="2"/>
  <c r="GL192" i="2"/>
  <c r="GL190" i="2"/>
  <c r="GB189" i="2"/>
  <c r="FV189" i="2"/>
  <c r="FP189" i="2"/>
  <c r="FJ189" i="2"/>
  <c r="EZ189" i="2"/>
  <c r="ET189" i="2"/>
  <c r="EN189" i="2"/>
  <c r="EH189" i="2"/>
  <c r="DZ189" i="2"/>
  <c r="DR189" i="2"/>
  <c r="DL189" i="2"/>
  <c r="DF189" i="2"/>
  <c r="CZ189" i="2"/>
  <c r="CT189" i="2"/>
  <c r="CN189" i="2"/>
  <c r="CH189" i="2"/>
  <c r="BU189" i="2"/>
  <c r="BM189" i="2"/>
  <c r="BG189" i="2"/>
  <c r="BA189" i="2"/>
  <c r="AU189" i="2"/>
  <c r="AO189" i="2"/>
  <c r="AG189" i="2"/>
  <c r="AA189" i="2"/>
  <c r="U189" i="2"/>
  <c r="O189" i="2"/>
  <c r="GL188" i="2"/>
  <c r="GL186" i="2"/>
  <c r="FZ185" i="2"/>
  <c r="FX185" i="2"/>
  <c r="FT185" i="2"/>
  <c r="FR185" i="2"/>
  <c r="FN185" i="2"/>
  <c r="FL185" i="2"/>
  <c r="FH185" i="2"/>
  <c r="FH187" i="2" s="1"/>
  <c r="FH191" i="2" s="1"/>
  <c r="FF185" i="2"/>
  <c r="FD185" i="2"/>
  <c r="FB185" i="2"/>
  <c r="EX185" i="2"/>
  <c r="EV185" i="2"/>
  <c r="ER185" i="2"/>
  <c r="EP185" i="2"/>
  <c r="EL185" i="2"/>
  <c r="EJ185" i="2"/>
  <c r="EJ187" i="2" s="1"/>
  <c r="EJ191" i="2" s="1"/>
  <c r="EF185" i="2"/>
  <c r="ED185" i="2"/>
  <c r="EB185" i="2"/>
  <c r="DX185" i="2"/>
  <c r="DV185" i="2"/>
  <c r="DT185" i="2"/>
  <c r="DP185" i="2"/>
  <c r="DN185" i="2"/>
  <c r="DJ185" i="2"/>
  <c r="DH185" i="2"/>
  <c r="DD185" i="2"/>
  <c r="DB185" i="2"/>
  <c r="CX185" i="2"/>
  <c r="CV185" i="2"/>
  <c r="CR185" i="2"/>
  <c r="CP185" i="2"/>
  <c r="CL185" i="2"/>
  <c r="CJ185" i="2"/>
  <c r="CD185" i="2"/>
  <c r="CB185" i="2"/>
  <c r="BZ185" i="2"/>
  <c r="BW185" i="2"/>
  <c r="BS185" i="2"/>
  <c r="BQ185" i="2"/>
  <c r="BO185" i="2"/>
  <c r="BK185" i="2"/>
  <c r="BI185" i="2"/>
  <c r="BE185" i="2"/>
  <c r="BC185" i="2"/>
  <c r="AY185" i="2"/>
  <c r="AW185" i="2"/>
  <c r="AS185" i="2"/>
  <c r="AQ185" i="2"/>
  <c r="AM185" i="2"/>
  <c r="AK185" i="2"/>
  <c r="AI185" i="2"/>
  <c r="AE185" i="2"/>
  <c r="AC185" i="2"/>
  <c r="Y185" i="2"/>
  <c r="W185" i="2"/>
  <c r="S185" i="2"/>
  <c r="Q185" i="2"/>
  <c r="M185" i="2"/>
  <c r="K185" i="2"/>
  <c r="GB184" i="2"/>
  <c r="FV184" i="2"/>
  <c r="FP184" i="2"/>
  <c r="FJ184" i="2"/>
  <c r="EZ184" i="2"/>
  <c r="ET184" i="2"/>
  <c r="EN184" i="2"/>
  <c r="EH184" i="2"/>
  <c r="DZ184" i="2"/>
  <c r="DR184" i="2"/>
  <c r="DL184" i="2"/>
  <c r="DF184" i="2"/>
  <c r="CZ184" i="2"/>
  <c r="CT184" i="2"/>
  <c r="CN184" i="2"/>
  <c r="CH184" i="2"/>
  <c r="BU184" i="2"/>
  <c r="BM184" i="2"/>
  <c r="BG184" i="2"/>
  <c r="BA184" i="2"/>
  <c r="AU184" i="2"/>
  <c r="AO184" i="2"/>
  <c r="AG184" i="2"/>
  <c r="AA184" i="2"/>
  <c r="U184" i="2"/>
  <c r="O184" i="2"/>
  <c r="GB183" i="2"/>
  <c r="FV183" i="2"/>
  <c r="FP183" i="2"/>
  <c r="FJ183" i="2"/>
  <c r="EZ183" i="2"/>
  <c r="ET183" i="2"/>
  <c r="EN183" i="2"/>
  <c r="EH183" i="2"/>
  <c r="DZ183" i="2"/>
  <c r="DR183" i="2"/>
  <c r="DL183" i="2"/>
  <c r="DF183" i="2"/>
  <c r="CZ183" i="2"/>
  <c r="CT183" i="2"/>
  <c r="CN183" i="2"/>
  <c r="CH183" i="2"/>
  <c r="BU183" i="2"/>
  <c r="BM183" i="2"/>
  <c r="BG183" i="2"/>
  <c r="BA183" i="2"/>
  <c r="AU183" i="2"/>
  <c r="AO183" i="2"/>
  <c r="AG183" i="2"/>
  <c r="AA183" i="2"/>
  <c r="U183" i="2"/>
  <c r="O183" i="2"/>
  <c r="GB182" i="2"/>
  <c r="FV182" i="2"/>
  <c r="FP182" i="2"/>
  <c r="FJ182" i="2"/>
  <c r="EZ182" i="2"/>
  <c r="ET182" i="2"/>
  <c r="EN182" i="2"/>
  <c r="EH182" i="2"/>
  <c r="DZ182" i="2"/>
  <c r="DR182" i="2"/>
  <c r="DL182" i="2"/>
  <c r="DF182" i="2"/>
  <c r="CZ182" i="2"/>
  <c r="CT182" i="2"/>
  <c r="CN182" i="2"/>
  <c r="CH182" i="2"/>
  <c r="BU182" i="2"/>
  <c r="BM182" i="2"/>
  <c r="BG182" i="2"/>
  <c r="BA182" i="2"/>
  <c r="AU182" i="2"/>
  <c r="AO182" i="2"/>
  <c r="AG182" i="2"/>
  <c r="AA182" i="2"/>
  <c r="U182" i="2"/>
  <c r="O182" i="2"/>
  <c r="GB181" i="2"/>
  <c r="FV181" i="2"/>
  <c r="FP181" i="2"/>
  <c r="FJ181" i="2"/>
  <c r="EZ181" i="2"/>
  <c r="ET181" i="2"/>
  <c r="EN181" i="2"/>
  <c r="EH181" i="2"/>
  <c r="DZ181" i="2"/>
  <c r="DR181" i="2"/>
  <c r="DL181" i="2"/>
  <c r="DF181" i="2"/>
  <c r="CZ181" i="2"/>
  <c r="CT181" i="2"/>
  <c r="CN181" i="2"/>
  <c r="CF181" i="2"/>
  <c r="CF185" i="2" s="1"/>
  <c r="BU181" i="2"/>
  <c r="BM181" i="2"/>
  <c r="BG181" i="2"/>
  <c r="BA181" i="2"/>
  <c r="AU181" i="2"/>
  <c r="AO181" i="2"/>
  <c r="AG181" i="2"/>
  <c r="AA181" i="2"/>
  <c r="U181" i="2"/>
  <c r="O181" i="2"/>
  <c r="GB180" i="2"/>
  <c r="FV180" i="2"/>
  <c r="FP180" i="2"/>
  <c r="FJ180" i="2"/>
  <c r="EZ180" i="2"/>
  <c r="ET180" i="2"/>
  <c r="EN180" i="2"/>
  <c r="EH180" i="2"/>
  <c r="DZ180" i="2"/>
  <c r="DR180" i="2"/>
  <c r="DL180" i="2"/>
  <c r="DF180" i="2"/>
  <c r="CZ180" i="2"/>
  <c r="CT180" i="2"/>
  <c r="CN180" i="2"/>
  <c r="CH180" i="2"/>
  <c r="BU180" i="2"/>
  <c r="BM180" i="2"/>
  <c r="BG180" i="2"/>
  <c r="BA180" i="2"/>
  <c r="AU180" i="2"/>
  <c r="AO180" i="2"/>
  <c r="AG180" i="2"/>
  <c r="AA180" i="2"/>
  <c r="U180" i="2"/>
  <c r="O180" i="2"/>
  <c r="GB179" i="2"/>
  <c r="FV179" i="2"/>
  <c r="FP179" i="2"/>
  <c r="FJ179" i="2"/>
  <c r="EZ179" i="2"/>
  <c r="ET179" i="2"/>
  <c r="EN179" i="2"/>
  <c r="EH179" i="2"/>
  <c r="DZ179" i="2"/>
  <c r="DR179" i="2"/>
  <c r="DL179" i="2"/>
  <c r="DF179" i="2"/>
  <c r="CZ179" i="2"/>
  <c r="CT179" i="2"/>
  <c r="CN179" i="2"/>
  <c r="CH179" i="2"/>
  <c r="BU179" i="2"/>
  <c r="BM179" i="2"/>
  <c r="BG179" i="2"/>
  <c r="BA179" i="2"/>
  <c r="AU179" i="2"/>
  <c r="AO179" i="2"/>
  <c r="AG179" i="2"/>
  <c r="AA179" i="2"/>
  <c r="U179" i="2"/>
  <c r="O179" i="2"/>
  <c r="GB178" i="2"/>
  <c r="FV178" i="2"/>
  <c r="FP178" i="2"/>
  <c r="FJ178" i="2"/>
  <c r="EZ178" i="2"/>
  <c r="ET178" i="2"/>
  <c r="EN178" i="2"/>
  <c r="EH178" i="2"/>
  <c r="DZ178" i="2"/>
  <c r="DR178" i="2"/>
  <c r="DL178" i="2"/>
  <c r="DF178" i="2"/>
  <c r="CZ178" i="2"/>
  <c r="CT178" i="2"/>
  <c r="CN178" i="2"/>
  <c r="CH178" i="2"/>
  <c r="BU178" i="2"/>
  <c r="BM178" i="2"/>
  <c r="BG178" i="2"/>
  <c r="BA178" i="2"/>
  <c r="AU178" i="2"/>
  <c r="AO178" i="2"/>
  <c r="AG178" i="2"/>
  <c r="AA178" i="2"/>
  <c r="U178" i="2"/>
  <c r="O178" i="2"/>
  <c r="GB177" i="2"/>
  <c r="FV177" i="2"/>
  <c r="FP177" i="2"/>
  <c r="FJ177" i="2"/>
  <c r="EZ177" i="2"/>
  <c r="ET177" i="2"/>
  <c r="EN177" i="2"/>
  <c r="EH177" i="2"/>
  <c r="DZ177" i="2"/>
  <c r="DR177" i="2"/>
  <c r="DL177" i="2"/>
  <c r="DF177" i="2"/>
  <c r="CZ177" i="2"/>
  <c r="CT177" i="2"/>
  <c r="CN177" i="2"/>
  <c r="CH177" i="2"/>
  <c r="BU177" i="2"/>
  <c r="BM177" i="2"/>
  <c r="BG177" i="2"/>
  <c r="BA177" i="2"/>
  <c r="AU177" i="2"/>
  <c r="AO177" i="2"/>
  <c r="AG177" i="2"/>
  <c r="AA177" i="2"/>
  <c r="U177" i="2"/>
  <c r="O177" i="2"/>
  <c r="GB176" i="2"/>
  <c r="FV176" i="2"/>
  <c r="FP176" i="2"/>
  <c r="FJ176" i="2"/>
  <c r="EZ176" i="2"/>
  <c r="ET176" i="2"/>
  <c r="EN176" i="2"/>
  <c r="EH176" i="2"/>
  <c r="DZ176" i="2"/>
  <c r="DR176" i="2"/>
  <c r="DL176" i="2"/>
  <c r="DF176" i="2"/>
  <c r="CZ176" i="2"/>
  <c r="CT176" i="2"/>
  <c r="CN176" i="2"/>
  <c r="CH176" i="2"/>
  <c r="BU176" i="2"/>
  <c r="BM176" i="2"/>
  <c r="BG176" i="2"/>
  <c r="BA176" i="2"/>
  <c r="AU176" i="2"/>
  <c r="AO176" i="2"/>
  <c r="AG176" i="2"/>
  <c r="AA176" i="2"/>
  <c r="U176" i="2"/>
  <c r="O176" i="2"/>
  <c r="GB175" i="2"/>
  <c r="FV175" i="2"/>
  <c r="FP175" i="2"/>
  <c r="FJ175" i="2"/>
  <c r="EZ175" i="2"/>
  <c r="ET175" i="2"/>
  <c r="EN175" i="2"/>
  <c r="EH175" i="2"/>
  <c r="DZ175" i="2"/>
  <c r="DR175" i="2"/>
  <c r="DL175" i="2"/>
  <c r="DF175" i="2"/>
  <c r="CZ175" i="2"/>
  <c r="CT175" i="2"/>
  <c r="CN175" i="2"/>
  <c r="CH175" i="2"/>
  <c r="BU175" i="2"/>
  <c r="BM175" i="2"/>
  <c r="BG175" i="2"/>
  <c r="BA175" i="2"/>
  <c r="AU175" i="2"/>
  <c r="AO175" i="2"/>
  <c r="AG175" i="2"/>
  <c r="AA175" i="2"/>
  <c r="U175" i="2"/>
  <c r="O175" i="2"/>
  <c r="GB174" i="2"/>
  <c r="FV174" i="2"/>
  <c r="FP174" i="2"/>
  <c r="FJ174" i="2"/>
  <c r="EZ174" i="2"/>
  <c r="ET174" i="2"/>
  <c r="EN174" i="2"/>
  <c r="EH174" i="2"/>
  <c r="DZ174" i="2"/>
  <c r="DR174" i="2"/>
  <c r="DL174" i="2"/>
  <c r="DF174" i="2"/>
  <c r="CZ174" i="2"/>
  <c r="CT174" i="2"/>
  <c r="CN174" i="2"/>
  <c r="CH174" i="2"/>
  <c r="BU174" i="2"/>
  <c r="BM174" i="2"/>
  <c r="BG174" i="2"/>
  <c r="BA174" i="2"/>
  <c r="AU174" i="2"/>
  <c r="AO174" i="2"/>
  <c r="AG174" i="2"/>
  <c r="AA174" i="2"/>
  <c r="U174" i="2"/>
  <c r="O174" i="2"/>
  <c r="GB173" i="2"/>
  <c r="FV173" i="2"/>
  <c r="FP173" i="2"/>
  <c r="FJ173" i="2"/>
  <c r="EZ173" i="2"/>
  <c r="ET173" i="2"/>
  <c r="EN173" i="2"/>
  <c r="EH173" i="2"/>
  <c r="DZ173" i="2"/>
  <c r="DR173" i="2"/>
  <c r="DL173" i="2"/>
  <c r="DF173" i="2"/>
  <c r="CZ173" i="2"/>
  <c r="CT173" i="2"/>
  <c r="CN173" i="2"/>
  <c r="CH173" i="2"/>
  <c r="BU173" i="2"/>
  <c r="BM173" i="2"/>
  <c r="BG173" i="2"/>
  <c r="BA173" i="2"/>
  <c r="AU173" i="2"/>
  <c r="AO173" i="2"/>
  <c r="AG173" i="2"/>
  <c r="AA173" i="2"/>
  <c r="U173" i="2"/>
  <c r="O173" i="2"/>
  <c r="GB172" i="2"/>
  <c r="FV172" i="2"/>
  <c r="FP172" i="2"/>
  <c r="FJ172" i="2"/>
  <c r="EZ172" i="2"/>
  <c r="ET172" i="2"/>
  <c r="EN172" i="2"/>
  <c r="EH172" i="2"/>
  <c r="DZ172" i="2"/>
  <c r="DR172" i="2"/>
  <c r="DL172" i="2"/>
  <c r="DF172" i="2"/>
  <c r="CZ172" i="2"/>
  <c r="CT172" i="2"/>
  <c r="CN172" i="2"/>
  <c r="CH172" i="2"/>
  <c r="BU172" i="2"/>
  <c r="BM172" i="2"/>
  <c r="BG172" i="2"/>
  <c r="BA172" i="2"/>
  <c r="AU172" i="2"/>
  <c r="AO172" i="2"/>
  <c r="AG172" i="2"/>
  <c r="AA172" i="2"/>
  <c r="U172" i="2"/>
  <c r="O172" i="2"/>
  <c r="GB171" i="2"/>
  <c r="FV171" i="2"/>
  <c r="FP171" i="2"/>
  <c r="FJ171" i="2"/>
  <c r="EZ171" i="2"/>
  <c r="ET171" i="2"/>
  <c r="EN171" i="2"/>
  <c r="EH171" i="2"/>
  <c r="DZ171" i="2"/>
  <c r="DR171" i="2"/>
  <c r="DL171" i="2"/>
  <c r="DF171" i="2"/>
  <c r="CZ171" i="2"/>
  <c r="CT171" i="2"/>
  <c r="CN171" i="2"/>
  <c r="CH171" i="2"/>
  <c r="BU171" i="2"/>
  <c r="BM171" i="2"/>
  <c r="BG171" i="2"/>
  <c r="BA171" i="2"/>
  <c r="AU171" i="2"/>
  <c r="AO171" i="2"/>
  <c r="AG171" i="2"/>
  <c r="AA171" i="2"/>
  <c r="U171" i="2"/>
  <c r="O171" i="2"/>
  <c r="GL170" i="2"/>
  <c r="FZ169" i="2"/>
  <c r="FX169" i="2"/>
  <c r="FT169" i="2"/>
  <c r="FR169" i="2"/>
  <c r="FN169" i="2"/>
  <c r="FL169" i="2"/>
  <c r="FH169" i="2"/>
  <c r="FF169" i="2"/>
  <c r="FD169" i="2"/>
  <c r="FB169" i="2"/>
  <c r="EX169" i="2"/>
  <c r="EV169" i="2"/>
  <c r="ER169" i="2"/>
  <c r="EP169" i="2"/>
  <c r="EL169" i="2"/>
  <c r="EJ169" i="2"/>
  <c r="EF169" i="2"/>
  <c r="ED169" i="2"/>
  <c r="EB169" i="2"/>
  <c r="DX169" i="2"/>
  <c r="DV169" i="2"/>
  <c r="DT169" i="2"/>
  <c r="DP169" i="2"/>
  <c r="DN169" i="2"/>
  <c r="DJ169" i="2"/>
  <c r="DH169" i="2"/>
  <c r="DD169" i="2"/>
  <c r="DB169" i="2"/>
  <c r="CX169" i="2"/>
  <c r="CV169" i="2"/>
  <c r="CR169" i="2"/>
  <c r="CP169" i="2"/>
  <c r="CL169" i="2"/>
  <c r="CJ169" i="2"/>
  <c r="CF169" i="2"/>
  <c r="CD169" i="2"/>
  <c r="CB169" i="2"/>
  <c r="BZ169" i="2"/>
  <c r="BW169" i="2"/>
  <c r="BS169" i="2"/>
  <c r="BQ169" i="2"/>
  <c r="BO169" i="2"/>
  <c r="BK169" i="2"/>
  <c r="BI169" i="2"/>
  <c r="BE169" i="2"/>
  <c r="BC169" i="2"/>
  <c r="AY169" i="2"/>
  <c r="AW169" i="2"/>
  <c r="AS169" i="2"/>
  <c r="AQ169" i="2"/>
  <c r="AM169" i="2"/>
  <c r="AK169" i="2"/>
  <c r="AI169" i="2"/>
  <c r="AE169" i="2"/>
  <c r="AC169" i="2"/>
  <c r="Y169" i="2"/>
  <c r="W169" i="2"/>
  <c r="S169" i="2"/>
  <c r="Q169" i="2"/>
  <c r="M169" i="2"/>
  <c r="K169" i="2"/>
  <c r="GB168" i="2"/>
  <c r="FV168" i="2"/>
  <c r="FP168" i="2"/>
  <c r="FJ168" i="2"/>
  <c r="EZ168" i="2"/>
  <c r="ET168" i="2"/>
  <c r="EN168" i="2"/>
  <c r="EH168" i="2"/>
  <c r="DZ168" i="2"/>
  <c r="DR168" i="2"/>
  <c r="DL168" i="2"/>
  <c r="DF168" i="2"/>
  <c r="CZ168" i="2"/>
  <c r="CT168" i="2"/>
  <c r="CN168" i="2"/>
  <c r="CH168" i="2"/>
  <c r="BU168" i="2"/>
  <c r="BM168" i="2"/>
  <c r="BG168" i="2"/>
  <c r="BA168" i="2"/>
  <c r="AU168" i="2"/>
  <c r="AO168" i="2"/>
  <c r="AG168" i="2"/>
  <c r="AA168" i="2"/>
  <c r="U168" i="2"/>
  <c r="O168" i="2"/>
  <c r="GB167" i="2"/>
  <c r="FV167" i="2"/>
  <c r="FP167" i="2"/>
  <c r="FJ167" i="2"/>
  <c r="EZ167" i="2"/>
  <c r="ET167" i="2"/>
  <c r="EN167" i="2"/>
  <c r="EH167" i="2"/>
  <c r="DZ167" i="2"/>
  <c r="DR167" i="2"/>
  <c r="DL167" i="2"/>
  <c r="DF167" i="2"/>
  <c r="CZ167" i="2"/>
  <c r="CT167" i="2"/>
  <c r="CN167" i="2"/>
  <c r="CH167" i="2"/>
  <c r="BU167" i="2"/>
  <c r="BM167" i="2"/>
  <c r="BG167" i="2"/>
  <c r="BA167" i="2"/>
  <c r="AU167" i="2"/>
  <c r="AO167" i="2"/>
  <c r="AG167" i="2"/>
  <c r="AA167" i="2"/>
  <c r="U167" i="2"/>
  <c r="O167" i="2"/>
  <c r="GB166" i="2"/>
  <c r="FV166" i="2"/>
  <c r="FP166" i="2"/>
  <c r="FJ166" i="2"/>
  <c r="EZ166" i="2"/>
  <c r="ET166" i="2"/>
  <c r="EN166" i="2"/>
  <c r="EH166" i="2"/>
  <c r="DZ166" i="2"/>
  <c r="DR166" i="2"/>
  <c r="DL166" i="2"/>
  <c r="DF166" i="2"/>
  <c r="CZ166" i="2"/>
  <c r="CT166" i="2"/>
  <c r="CN166" i="2"/>
  <c r="CH166" i="2"/>
  <c r="BU166" i="2"/>
  <c r="BM166" i="2"/>
  <c r="BG166" i="2"/>
  <c r="BA166" i="2"/>
  <c r="AU166" i="2"/>
  <c r="AO166" i="2"/>
  <c r="AG166" i="2"/>
  <c r="AA166" i="2"/>
  <c r="U166" i="2"/>
  <c r="O166" i="2"/>
  <c r="GB165" i="2"/>
  <c r="FV165" i="2"/>
  <c r="FP165" i="2"/>
  <c r="FJ165" i="2"/>
  <c r="EZ165" i="2"/>
  <c r="ET165" i="2"/>
  <c r="EN165" i="2"/>
  <c r="EH165" i="2"/>
  <c r="DZ165" i="2"/>
  <c r="DZ169" i="2" s="1"/>
  <c r="DR165" i="2"/>
  <c r="DL165" i="2"/>
  <c r="DF165" i="2"/>
  <c r="CZ165" i="2"/>
  <c r="CT165" i="2"/>
  <c r="CN165" i="2"/>
  <c r="CH165" i="2"/>
  <c r="BU165" i="2"/>
  <c r="BM165" i="2"/>
  <c r="BG165" i="2"/>
  <c r="BA165" i="2"/>
  <c r="AU165" i="2"/>
  <c r="AO165" i="2"/>
  <c r="AG165" i="2"/>
  <c r="AA165" i="2"/>
  <c r="U165" i="2"/>
  <c r="O165" i="2"/>
  <c r="GL164" i="2"/>
  <c r="FZ163" i="2"/>
  <c r="FX163" i="2"/>
  <c r="FT163" i="2"/>
  <c r="FR163" i="2"/>
  <c r="FR324" i="2" s="1"/>
  <c r="FN163" i="2"/>
  <c r="FL163" i="2"/>
  <c r="FH163" i="2"/>
  <c r="FF163" i="2"/>
  <c r="FF324" i="2" s="1"/>
  <c r="FD163" i="2"/>
  <c r="FB163" i="2"/>
  <c r="EX163" i="2"/>
  <c r="EV163" i="2"/>
  <c r="EV324" i="2" s="1"/>
  <c r="ER163" i="2"/>
  <c r="EP163" i="2"/>
  <c r="EL163" i="2"/>
  <c r="EJ163" i="2"/>
  <c r="EJ324" i="2" s="1"/>
  <c r="EF163" i="2"/>
  <c r="ED163" i="2"/>
  <c r="EB163" i="2"/>
  <c r="EB324" i="2" s="1"/>
  <c r="DX163" i="2"/>
  <c r="DV163" i="2"/>
  <c r="DT163" i="2"/>
  <c r="DP163" i="2"/>
  <c r="DN163" i="2"/>
  <c r="DJ163" i="2"/>
  <c r="DH163" i="2"/>
  <c r="DD163" i="2"/>
  <c r="DB163" i="2"/>
  <c r="CX163" i="2"/>
  <c r="CV163" i="2"/>
  <c r="CR163" i="2"/>
  <c r="CP163" i="2"/>
  <c r="CL163" i="2"/>
  <c r="CJ163" i="2"/>
  <c r="CJ324" i="2" s="1"/>
  <c r="CF163" i="2"/>
  <c r="CD163" i="2"/>
  <c r="CB163" i="2"/>
  <c r="BZ163" i="2"/>
  <c r="BW163" i="2"/>
  <c r="BS163" i="2"/>
  <c r="BQ163" i="2"/>
  <c r="BO163" i="2"/>
  <c r="BK163" i="2"/>
  <c r="BI163" i="2"/>
  <c r="BE163" i="2"/>
  <c r="BC163" i="2"/>
  <c r="AY163" i="2"/>
  <c r="AW163" i="2"/>
  <c r="AS163" i="2"/>
  <c r="AQ163" i="2"/>
  <c r="AM163" i="2"/>
  <c r="AK163" i="2"/>
  <c r="AI163" i="2"/>
  <c r="AE163" i="2"/>
  <c r="AC163" i="2"/>
  <c r="Y163" i="2"/>
  <c r="W163" i="2"/>
  <c r="W324" i="2" s="1"/>
  <c r="S163" i="2"/>
  <c r="Q163" i="2"/>
  <c r="Q324" i="2" s="1"/>
  <c r="M163" i="2"/>
  <c r="K163" i="2"/>
  <c r="GB162" i="2"/>
  <c r="FV162" i="2"/>
  <c r="FP162" i="2"/>
  <c r="FJ162" i="2"/>
  <c r="EZ162" i="2"/>
  <c r="ET162" i="2"/>
  <c r="EN162" i="2"/>
  <c r="EH162" i="2"/>
  <c r="DZ162" i="2"/>
  <c r="DR162" i="2"/>
  <c r="DL162" i="2"/>
  <c r="DF162" i="2"/>
  <c r="CZ162" i="2"/>
  <c r="CT162" i="2"/>
  <c r="CN162" i="2"/>
  <c r="CH162" i="2"/>
  <c r="BU162" i="2"/>
  <c r="BM162" i="2"/>
  <c r="BG162" i="2"/>
  <c r="BA162" i="2"/>
  <c r="AU162" i="2"/>
  <c r="AO162" i="2"/>
  <c r="AG162" i="2"/>
  <c r="AA162" i="2"/>
  <c r="U162" i="2"/>
  <c r="O162" i="2"/>
  <c r="GB161" i="2"/>
  <c r="FV161" i="2"/>
  <c r="FP161" i="2"/>
  <c r="FJ161" i="2"/>
  <c r="EZ161" i="2"/>
  <c r="ET161" i="2"/>
  <c r="EN161" i="2"/>
  <c r="EH161" i="2"/>
  <c r="DZ161" i="2"/>
  <c r="DR161" i="2"/>
  <c r="DL161" i="2"/>
  <c r="DF161" i="2"/>
  <c r="CZ161" i="2"/>
  <c r="CT161" i="2"/>
  <c r="CN161" i="2"/>
  <c r="CH161" i="2"/>
  <c r="BU161" i="2"/>
  <c r="BM161" i="2"/>
  <c r="BG161" i="2"/>
  <c r="BA161" i="2"/>
  <c r="AU161" i="2"/>
  <c r="AO161" i="2"/>
  <c r="AG161" i="2"/>
  <c r="AA161" i="2"/>
  <c r="U161" i="2"/>
  <c r="O161" i="2"/>
  <c r="GM161" i="2" s="1"/>
  <c r="GB160" i="2"/>
  <c r="FV160" i="2"/>
  <c r="FP160" i="2"/>
  <c r="FJ160" i="2"/>
  <c r="EZ160" i="2"/>
  <c r="ET160" i="2"/>
  <c r="EN160" i="2"/>
  <c r="EH160" i="2"/>
  <c r="DZ160" i="2"/>
  <c r="DR160" i="2"/>
  <c r="DL160" i="2"/>
  <c r="DF160" i="2"/>
  <c r="CZ160" i="2"/>
  <c r="CT160" i="2"/>
  <c r="CN160" i="2"/>
  <c r="CH160" i="2"/>
  <c r="BU160" i="2"/>
  <c r="BM160" i="2"/>
  <c r="BG160" i="2"/>
  <c r="BA160" i="2"/>
  <c r="AU160" i="2"/>
  <c r="AO160" i="2"/>
  <c r="AG160" i="2"/>
  <c r="AA160" i="2"/>
  <c r="U160" i="2"/>
  <c r="O160" i="2"/>
  <c r="GB159" i="2"/>
  <c r="FV159" i="2"/>
  <c r="FP159" i="2"/>
  <c r="FJ159" i="2"/>
  <c r="EZ159" i="2"/>
  <c r="ET159" i="2"/>
  <c r="EN159" i="2"/>
  <c r="EH159" i="2"/>
  <c r="DZ159" i="2"/>
  <c r="DR159" i="2"/>
  <c r="DL159" i="2"/>
  <c r="DF159" i="2"/>
  <c r="CZ159" i="2"/>
  <c r="CT159" i="2"/>
  <c r="CN159" i="2"/>
  <c r="CH159" i="2"/>
  <c r="BU159" i="2"/>
  <c r="BM159" i="2"/>
  <c r="BG159" i="2"/>
  <c r="BA159" i="2"/>
  <c r="AU159" i="2"/>
  <c r="AO159" i="2"/>
  <c r="AG159" i="2"/>
  <c r="AA159" i="2"/>
  <c r="U159" i="2"/>
  <c r="O159" i="2"/>
  <c r="GB158" i="2"/>
  <c r="FV158" i="2"/>
  <c r="FP158" i="2"/>
  <c r="FJ158" i="2"/>
  <c r="EZ158" i="2"/>
  <c r="ET158" i="2"/>
  <c r="EN158" i="2"/>
  <c r="EH158" i="2"/>
  <c r="DZ158" i="2"/>
  <c r="DR158" i="2"/>
  <c r="DL158" i="2"/>
  <c r="DF158" i="2"/>
  <c r="CZ158" i="2"/>
  <c r="CT158" i="2"/>
  <c r="CN158" i="2"/>
  <c r="CH158" i="2"/>
  <c r="BU158" i="2"/>
  <c r="BM158" i="2"/>
  <c r="BG158" i="2"/>
  <c r="BA158" i="2"/>
  <c r="AU158" i="2"/>
  <c r="AO158" i="2"/>
  <c r="AG158" i="2"/>
  <c r="AA158" i="2"/>
  <c r="U158" i="2"/>
  <c r="O158" i="2"/>
  <c r="GB157" i="2"/>
  <c r="FV157" i="2"/>
  <c r="FP157" i="2"/>
  <c r="FJ157" i="2"/>
  <c r="EZ157" i="2"/>
  <c r="ET157" i="2"/>
  <c r="EN157" i="2"/>
  <c r="EH157" i="2"/>
  <c r="DZ157" i="2"/>
  <c r="DR157" i="2"/>
  <c r="DL157" i="2"/>
  <c r="DF157" i="2"/>
  <c r="CZ157" i="2"/>
  <c r="CT157" i="2"/>
  <c r="CN157" i="2"/>
  <c r="CH157" i="2"/>
  <c r="BU157" i="2"/>
  <c r="BM157" i="2"/>
  <c r="BG157" i="2"/>
  <c r="BA157" i="2"/>
  <c r="AU157" i="2"/>
  <c r="AO157" i="2"/>
  <c r="AG157" i="2"/>
  <c r="AA157" i="2"/>
  <c r="U157" i="2"/>
  <c r="O157" i="2"/>
  <c r="GB156" i="2"/>
  <c r="FV156" i="2"/>
  <c r="FP156" i="2"/>
  <c r="FJ156" i="2"/>
  <c r="EZ156" i="2"/>
  <c r="ET156" i="2"/>
  <c r="EN156" i="2"/>
  <c r="EH156" i="2"/>
  <c r="DZ156" i="2"/>
  <c r="DR156" i="2"/>
  <c r="DL156" i="2"/>
  <c r="DF156" i="2"/>
  <c r="CZ156" i="2"/>
  <c r="CT156" i="2"/>
  <c r="CN156" i="2"/>
  <c r="CH156" i="2"/>
  <c r="BU156" i="2"/>
  <c r="BM156" i="2"/>
  <c r="BG156" i="2"/>
  <c r="BA156" i="2"/>
  <c r="AU156" i="2"/>
  <c r="AO156" i="2"/>
  <c r="AG156" i="2"/>
  <c r="AA156" i="2"/>
  <c r="U156" i="2"/>
  <c r="O156" i="2"/>
  <c r="GB155" i="2"/>
  <c r="FV155" i="2"/>
  <c r="FP155" i="2"/>
  <c r="FJ155" i="2"/>
  <c r="EZ155" i="2"/>
  <c r="ET155" i="2"/>
  <c r="EN155" i="2"/>
  <c r="EH155" i="2"/>
  <c r="DZ155" i="2"/>
  <c r="DR155" i="2"/>
  <c r="DL155" i="2"/>
  <c r="DF155" i="2"/>
  <c r="CZ155" i="2"/>
  <c r="CT155" i="2"/>
  <c r="CN155" i="2"/>
  <c r="CH155" i="2"/>
  <c r="BU155" i="2"/>
  <c r="BM155" i="2"/>
  <c r="BG155" i="2"/>
  <c r="BA155" i="2"/>
  <c r="AU155" i="2"/>
  <c r="AO155" i="2"/>
  <c r="AG155" i="2"/>
  <c r="AA155" i="2"/>
  <c r="U155" i="2"/>
  <c r="O155" i="2"/>
  <c r="GB154" i="2"/>
  <c r="FV154" i="2"/>
  <c r="FP154" i="2"/>
  <c r="FJ154" i="2"/>
  <c r="EZ154" i="2"/>
  <c r="ET154" i="2"/>
  <c r="EN154" i="2"/>
  <c r="EH154" i="2"/>
  <c r="DZ154" i="2"/>
  <c r="DR154" i="2"/>
  <c r="DL154" i="2"/>
  <c r="DF154" i="2"/>
  <c r="CZ154" i="2"/>
  <c r="CT154" i="2"/>
  <c r="CN154" i="2"/>
  <c r="CH154" i="2"/>
  <c r="BU154" i="2"/>
  <c r="BM154" i="2"/>
  <c r="BG154" i="2"/>
  <c r="BA154" i="2"/>
  <c r="AU154" i="2"/>
  <c r="AO154" i="2"/>
  <c r="AG154" i="2"/>
  <c r="AA154" i="2"/>
  <c r="U154" i="2"/>
  <c r="O154" i="2"/>
  <c r="GB153" i="2"/>
  <c r="FV153" i="2"/>
  <c r="FP153" i="2"/>
  <c r="FJ153" i="2"/>
  <c r="EZ153" i="2"/>
  <c r="ET153" i="2"/>
  <c r="EN153" i="2"/>
  <c r="EH153" i="2"/>
  <c r="DZ153" i="2"/>
  <c r="DR153" i="2"/>
  <c r="DL153" i="2"/>
  <c r="DF153" i="2"/>
  <c r="CZ153" i="2"/>
  <c r="CT153" i="2"/>
  <c r="CN153" i="2"/>
  <c r="CH153" i="2"/>
  <c r="BU153" i="2"/>
  <c r="BM153" i="2"/>
  <c r="BG153" i="2"/>
  <c r="BA153" i="2"/>
  <c r="AU153" i="2"/>
  <c r="AO153" i="2"/>
  <c r="AG153" i="2"/>
  <c r="AA153" i="2"/>
  <c r="U153" i="2"/>
  <c r="O153" i="2"/>
  <c r="GM153" i="2" s="1"/>
  <c r="GB152" i="2"/>
  <c r="FV152" i="2"/>
  <c r="FP152" i="2"/>
  <c r="FJ152" i="2"/>
  <c r="EZ152" i="2"/>
  <c r="ET152" i="2"/>
  <c r="EN152" i="2"/>
  <c r="EH152" i="2"/>
  <c r="DZ152" i="2"/>
  <c r="DR152" i="2"/>
  <c r="DL152" i="2"/>
  <c r="DF152" i="2"/>
  <c r="CZ152" i="2"/>
  <c r="CT152" i="2"/>
  <c r="CN152" i="2"/>
  <c r="CH152" i="2"/>
  <c r="BU152" i="2"/>
  <c r="BM152" i="2"/>
  <c r="BG152" i="2"/>
  <c r="BA152" i="2"/>
  <c r="AU152" i="2"/>
  <c r="AO152" i="2"/>
  <c r="AG152" i="2"/>
  <c r="AA152" i="2"/>
  <c r="U152" i="2"/>
  <c r="O152" i="2"/>
  <c r="GB151" i="2"/>
  <c r="FV151" i="2"/>
  <c r="FP151" i="2"/>
  <c r="FJ151" i="2"/>
  <c r="EZ151" i="2"/>
  <c r="ET151" i="2"/>
  <c r="EN151" i="2"/>
  <c r="EH151" i="2"/>
  <c r="DZ151" i="2"/>
  <c r="DR151" i="2"/>
  <c r="DL151" i="2"/>
  <c r="DF151" i="2"/>
  <c r="CZ151" i="2"/>
  <c r="CT151" i="2"/>
  <c r="CN151" i="2"/>
  <c r="CH151" i="2"/>
  <c r="BU151" i="2"/>
  <c r="BM151" i="2"/>
  <c r="BG151" i="2"/>
  <c r="BA151" i="2"/>
  <c r="AU151" i="2"/>
  <c r="AO151" i="2"/>
  <c r="AO163" i="2" s="1"/>
  <c r="AG151" i="2"/>
  <c r="AA151" i="2"/>
  <c r="U151" i="2"/>
  <c r="O151" i="2"/>
  <c r="GB150" i="2"/>
  <c r="FV150" i="2"/>
  <c r="FP150" i="2"/>
  <c r="FJ150" i="2"/>
  <c r="EZ150" i="2"/>
  <c r="ET150" i="2"/>
  <c r="EN150" i="2"/>
  <c r="EH150" i="2"/>
  <c r="DZ150" i="2"/>
  <c r="DR150" i="2"/>
  <c r="DL150" i="2"/>
  <c r="DL163" i="2" s="1"/>
  <c r="DF150" i="2"/>
  <c r="CZ150" i="2"/>
  <c r="CT150" i="2"/>
  <c r="CN150" i="2"/>
  <c r="CH150" i="2"/>
  <c r="BU150" i="2"/>
  <c r="BM150" i="2"/>
  <c r="BG150" i="2"/>
  <c r="BA150" i="2"/>
  <c r="AU150" i="2"/>
  <c r="AO150" i="2"/>
  <c r="AG150" i="2"/>
  <c r="AA150" i="2"/>
  <c r="U150" i="2"/>
  <c r="O150" i="2"/>
  <c r="GL149" i="2"/>
  <c r="GL148" i="2"/>
  <c r="GB147" i="2"/>
  <c r="FV147" i="2"/>
  <c r="FP147" i="2"/>
  <c r="FJ147" i="2"/>
  <c r="EZ147" i="2"/>
  <c r="ET147" i="2"/>
  <c r="EN147" i="2"/>
  <c r="EH147" i="2"/>
  <c r="DZ147" i="2"/>
  <c r="DR147" i="2"/>
  <c r="DL147" i="2"/>
  <c r="DF147" i="2"/>
  <c r="CZ147" i="2"/>
  <c r="CT147" i="2"/>
  <c r="CN147" i="2"/>
  <c r="CH147" i="2"/>
  <c r="BU147" i="2"/>
  <c r="BM147" i="2"/>
  <c r="BG147" i="2"/>
  <c r="BA147" i="2"/>
  <c r="AU147" i="2"/>
  <c r="AO147" i="2"/>
  <c r="AG147" i="2"/>
  <c r="AA147" i="2"/>
  <c r="U147" i="2"/>
  <c r="O147" i="2"/>
  <c r="GL146" i="2"/>
  <c r="FZ145" i="2"/>
  <c r="FX145" i="2"/>
  <c r="FT145" i="2"/>
  <c r="FR145" i="2"/>
  <c r="FN145" i="2"/>
  <c r="FL145" i="2"/>
  <c r="FH145" i="2"/>
  <c r="FF145" i="2"/>
  <c r="FD145" i="2"/>
  <c r="FB145" i="2"/>
  <c r="EX145" i="2"/>
  <c r="EV145" i="2"/>
  <c r="ER145" i="2"/>
  <c r="EP145" i="2"/>
  <c r="EL145" i="2"/>
  <c r="EJ145" i="2"/>
  <c r="EF145" i="2"/>
  <c r="ED145" i="2"/>
  <c r="EB145" i="2"/>
  <c r="DX145" i="2"/>
  <c r="DV145" i="2"/>
  <c r="DT145" i="2"/>
  <c r="DP145" i="2"/>
  <c r="DN145" i="2"/>
  <c r="DJ145" i="2"/>
  <c r="DH145" i="2"/>
  <c r="DD145" i="2"/>
  <c r="DB145" i="2"/>
  <c r="CX145" i="2"/>
  <c r="CV145" i="2"/>
  <c r="CR145" i="2"/>
  <c r="CP145" i="2"/>
  <c r="CL145" i="2"/>
  <c r="CJ145" i="2"/>
  <c r="CF145" i="2"/>
  <c r="CD145" i="2"/>
  <c r="CB145" i="2"/>
  <c r="BZ145" i="2"/>
  <c r="BW145" i="2"/>
  <c r="BS145" i="2"/>
  <c r="BQ145" i="2"/>
  <c r="BO145" i="2"/>
  <c r="BK145" i="2"/>
  <c r="BI145" i="2"/>
  <c r="BE145" i="2"/>
  <c r="BC145" i="2"/>
  <c r="AY145" i="2"/>
  <c r="AW145" i="2"/>
  <c r="AS145" i="2"/>
  <c r="AQ145" i="2"/>
  <c r="AM145" i="2"/>
  <c r="AK145" i="2"/>
  <c r="AI145" i="2"/>
  <c r="AE145" i="2"/>
  <c r="AC145" i="2"/>
  <c r="Y145" i="2"/>
  <c r="W145" i="2"/>
  <c r="S145" i="2"/>
  <c r="Q145" i="2"/>
  <c r="M145" i="2"/>
  <c r="K145" i="2"/>
  <c r="GB144" i="2"/>
  <c r="FV144" i="2"/>
  <c r="FP144" i="2"/>
  <c r="FJ144" i="2"/>
  <c r="EZ144" i="2"/>
  <c r="ET144" i="2"/>
  <c r="EN144" i="2"/>
  <c r="EH144" i="2"/>
  <c r="DZ144" i="2"/>
  <c r="DR144" i="2"/>
  <c r="DL144" i="2"/>
  <c r="DF144" i="2"/>
  <c r="CZ144" i="2"/>
  <c r="CT144" i="2"/>
  <c r="CN144" i="2"/>
  <c r="CH144" i="2"/>
  <c r="BU144" i="2"/>
  <c r="BM144" i="2"/>
  <c r="BG144" i="2"/>
  <c r="BA144" i="2"/>
  <c r="AU144" i="2"/>
  <c r="AO144" i="2"/>
  <c r="AG144" i="2"/>
  <c r="AA144" i="2"/>
  <c r="U144" i="2"/>
  <c r="O144" i="2"/>
  <c r="GB143" i="2"/>
  <c r="FV143" i="2"/>
  <c r="FP143" i="2"/>
  <c r="FJ143" i="2"/>
  <c r="EZ143" i="2"/>
  <c r="ET143" i="2"/>
  <c r="EN143" i="2"/>
  <c r="EH143" i="2"/>
  <c r="DZ143" i="2"/>
  <c r="DR143" i="2"/>
  <c r="DL143" i="2"/>
  <c r="DF143" i="2"/>
  <c r="CZ143" i="2"/>
  <c r="CT143" i="2"/>
  <c r="CN143" i="2"/>
  <c r="CH143" i="2"/>
  <c r="BU143" i="2"/>
  <c r="BM143" i="2"/>
  <c r="BG143" i="2"/>
  <c r="BA143" i="2"/>
  <c r="AU143" i="2"/>
  <c r="AU145" i="2" s="1"/>
  <c r="AO143" i="2"/>
  <c r="AG143" i="2"/>
  <c r="AA143" i="2"/>
  <c r="U143" i="2"/>
  <c r="O143" i="2"/>
  <c r="GB142" i="2"/>
  <c r="FV142" i="2"/>
  <c r="FP142" i="2"/>
  <c r="FJ142" i="2"/>
  <c r="EZ142" i="2"/>
  <c r="ET142" i="2"/>
  <c r="EN142" i="2"/>
  <c r="EH142" i="2"/>
  <c r="DZ142" i="2"/>
  <c r="DR142" i="2"/>
  <c r="DL142" i="2"/>
  <c r="DF142" i="2"/>
  <c r="CZ142" i="2"/>
  <c r="CT142" i="2"/>
  <c r="CN142" i="2"/>
  <c r="CH142" i="2"/>
  <c r="BU142" i="2"/>
  <c r="BM142" i="2"/>
  <c r="BG142" i="2"/>
  <c r="BA142" i="2"/>
  <c r="AU142" i="2"/>
  <c r="AO142" i="2"/>
  <c r="AG142" i="2"/>
  <c r="AA142" i="2"/>
  <c r="U142" i="2"/>
  <c r="O142" i="2"/>
  <c r="GB141" i="2"/>
  <c r="FV141" i="2"/>
  <c r="FP141" i="2"/>
  <c r="FJ141" i="2"/>
  <c r="EZ141" i="2"/>
  <c r="ET141" i="2"/>
  <c r="EN141" i="2"/>
  <c r="EH141" i="2"/>
  <c r="DZ141" i="2"/>
  <c r="DR141" i="2"/>
  <c r="DL141" i="2"/>
  <c r="DF141" i="2"/>
  <c r="CZ141" i="2"/>
  <c r="CT141" i="2"/>
  <c r="CN141" i="2"/>
  <c r="CH141" i="2"/>
  <c r="BU141" i="2"/>
  <c r="BM141" i="2"/>
  <c r="BG141" i="2"/>
  <c r="BA141" i="2"/>
  <c r="AU141" i="2"/>
  <c r="AO141" i="2"/>
  <c r="AG141" i="2"/>
  <c r="AA141" i="2"/>
  <c r="U141" i="2"/>
  <c r="O141" i="2"/>
  <c r="GB140" i="2"/>
  <c r="FV140" i="2"/>
  <c r="FP140" i="2"/>
  <c r="FJ140" i="2"/>
  <c r="EZ140" i="2"/>
  <c r="ET140" i="2"/>
  <c r="EN140" i="2"/>
  <c r="EH140" i="2"/>
  <c r="DZ140" i="2"/>
  <c r="DR140" i="2"/>
  <c r="DL140" i="2"/>
  <c r="DF140" i="2"/>
  <c r="CZ140" i="2"/>
  <c r="CT140" i="2"/>
  <c r="CN140" i="2"/>
  <c r="CH140" i="2"/>
  <c r="BU140" i="2"/>
  <c r="BM140" i="2"/>
  <c r="BG140" i="2"/>
  <c r="BA140" i="2"/>
  <c r="AU140" i="2"/>
  <c r="AO140" i="2"/>
  <c r="AG140" i="2"/>
  <c r="AA140" i="2"/>
  <c r="U140" i="2"/>
  <c r="O140" i="2"/>
  <c r="GL139" i="2"/>
  <c r="GL138" i="2"/>
  <c r="GB137" i="2"/>
  <c r="FV137" i="2"/>
  <c r="FP137" i="2"/>
  <c r="FJ137" i="2"/>
  <c r="EZ137" i="2"/>
  <c r="ET137" i="2"/>
  <c r="EN137" i="2"/>
  <c r="EH137" i="2"/>
  <c r="DZ137" i="2"/>
  <c r="DR137" i="2"/>
  <c r="DL137" i="2"/>
  <c r="DF137" i="2"/>
  <c r="CZ137" i="2"/>
  <c r="CT137" i="2"/>
  <c r="CN137" i="2"/>
  <c r="CH137" i="2"/>
  <c r="BU137" i="2"/>
  <c r="BM137" i="2"/>
  <c r="BG137" i="2"/>
  <c r="BA137" i="2"/>
  <c r="AU137" i="2"/>
  <c r="AO137" i="2"/>
  <c r="AG137" i="2"/>
  <c r="AA137" i="2"/>
  <c r="U137" i="2"/>
  <c r="O137" i="2"/>
  <c r="GB136" i="2"/>
  <c r="FV136" i="2"/>
  <c r="FP136" i="2"/>
  <c r="FJ136" i="2"/>
  <c r="EZ136" i="2"/>
  <c r="ET136" i="2"/>
  <c r="EN136" i="2"/>
  <c r="EH136" i="2"/>
  <c r="DZ136" i="2"/>
  <c r="DR136" i="2"/>
  <c r="DL136" i="2"/>
  <c r="DF136" i="2"/>
  <c r="CZ136" i="2"/>
  <c r="CT136" i="2"/>
  <c r="CN136" i="2"/>
  <c r="CH136" i="2"/>
  <c r="BU136" i="2"/>
  <c r="BM136" i="2"/>
  <c r="BG136" i="2"/>
  <c r="BA136" i="2"/>
  <c r="AU136" i="2"/>
  <c r="AO136" i="2"/>
  <c r="AG136" i="2"/>
  <c r="AA136" i="2"/>
  <c r="U136" i="2"/>
  <c r="O136" i="2"/>
  <c r="GB135" i="2"/>
  <c r="FV135" i="2"/>
  <c r="FP135" i="2"/>
  <c r="FJ135" i="2"/>
  <c r="EZ135" i="2"/>
  <c r="ET135" i="2"/>
  <c r="EN135" i="2"/>
  <c r="EH135" i="2"/>
  <c r="DZ135" i="2"/>
  <c r="DR135" i="2"/>
  <c r="DL135" i="2"/>
  <c r="DF135" i="2"/>
  <c r="CZ135" i="2"/>
  <c r="CT135" i="2"/>
  <c r="CN135" i="2"/>
  <c r="CH135" i="2"/>
  <c r="BU135" i="2"/>
  <c r="BM135" i="2"/>
  <c r="BG135" i="2"/>
  <c r="BA135" i="2"/>
  <c r="AU135" i="2"/>
  <c r="AO135" i="2"/>
  <c r="AG135" i="2"/>
  <c r="AA135" i="2"/>
  <c r="U135" i="2"/>
  <c r="O135" i="2"/>
  <c r="GB134" i="2"/>
  <c r="FV134" i="2"/>
  <c r="FP134" i="2"/>
  <c r="FJ134" i="2"/>
  <c r="EZ134" i="2"/>
  <c r="ET134" i="2"/>
  <c r="EN134" i="2"/>
  <c r="EH134" i="2"/>
  <c r="DZ134" i="2"/>
  <c r="DR134" i="2"/>
  <c r="DL134" i="2"/>
  <c r="DF134" i="2"/>
  <c r="CZ134" i="2"/>
  <c r="CT134" i="2"/>
  <c r="CN134" i="2"/>
  <c r="CH134" i="2"/>
  <c r="BU134" i="2"/>
  <c r="BM134" i="2"/>
  <c r="BG134" i="2"/>
  <c r="BA134" i="2"/>
  <c r="AU134" i="2"/>
  <c r="AO134" i="2"/>
  <c r="AG134" i="2"/>
  <c r="AA134" i="2"/>
  <c r="U134" i="2"/>
  <c r="O134" i="2"/>
  <c r="GB133" i="2"/>
  <c r="FV133" i="2"/>
  <c r="FP133" i="2"/>
  <c r="FJ133" i="2"/>
  <c r="EZ133" i="2"/>
  <c r="ET133" i="2"/>
  <c r="EN133" i="2"/>
  <c r="EH133" i="2"/>
  <c r="DZ133" i="2"/>
  <c r="DR133" i="2"/>
  <c r="DL133" i="2"/>
  <c r="DF133" i="2"/>
  <c r="CZ133" i="2"/>
  <c r="CT133" i="2"/>
  <c r="CN133" i="2"/>
  <c r="CH133" i="2"/>
  <c r="BU133" i="2"/>
  <c r="BM133" i="2"/>
  <c r="BG133" i="2"/>
  <c r="BA133" i="2"/>
  <c r="AU133" i="2"/>
  <c r="AO133" i="2"/>
  <c r="AG133" i="2"/>
  <c r="AA133" i="2"/>
  <c r="U133" i="2"/>
  <c r="O133" i="2"/>
  <c r="GB132" i="2"/>
  <c r="FV132" i="2"/>
  <c r="FP132" i="2"/>
  <c r="FJ132" i="2"/>
  <c r="EZ132" i="2"/>
  <c r="ET132" i="2"/>
  <c r="EN132" i="2"/>
  <c r="EH132" i="2"/>
  <c r="DZ132" i="2"/>
  <c r="DR132" i="2"/>
  <c r="DL132" i="2"/>
  <c r="DF132" i="2"/>
  <c r="CZ132" i="2"/>
  <c r="CT132" i="2"/>
  <c r="CN132" i="2"/>
  <c r="CH132" i="2"/>
  <c r="BU132" i="2"/>
  <c r="BM132" i="2"/>
  <c r="BG132" i="2"/>
  <c r="BA132" i="2"/>
  <c r="AU132" i="2"/>
  <c r="AO132" i="2"/>
  <c r="AG132" i="2"/>
  <c r="AA132" i="2"/>
  <c r="U132" i="2"/>
  <c r="O132" i="2"/>
  <c r="GL131" i="2"/>
  <c r="FZ130" i="2"/>
  <c r="FX130" i="2"/>
  <c r="FT130" i="2"/>
  <c r="FR130" i="2"/>
  <c r="FN130" i="2"/>
  <c r="FL130" i="2"/>
  <c r="FH130" i="2"/>
  <c r="FF130" i="2"/>
  <c r="FD130" i="2"/>
  <c r="FB130" i="2"/>
  <c r="EX130" i="2"/>
  <c r="EV130" i="2"/>
  <c r="ER130" i="2"/>
  <c r="EP130" i="2"/>
  <c r="EL130" i="2"/>
  <c r="EJ130" i="2"/>
  <c r="EF130" i="2"/>
  <c r="ED130" i="2"/>
  <c r="EB130" i="2"/>
  <c r="DX130" i="2"/>
  <c r="DV130" i="2"/>
  <c r="DT130" i="2"/>
  <c r="DP130" i="2"/>
  <c r="DN130" i="2"/>
  <c r="DJ130" i="2"/>
  <c r="DH130" i="2"/>
  <c r="DD130" i="2"/>
  <c r="DB130" i="2"/>
  <c r="CX130" i="2"/>
  <c r="CV130" i="2"/>
  <c r="CR130" i="2"/>
  <c r="CP130" i="2"/>
  <c r="CL130" i="2"/>
  <c r="CJ130" i="2"/>
  <c r="CF130" i="2"/>
  <c r="CD130" i="2"/>
  <c r="CB130" i="2"/>
  <c r="BZ130" i="2"/>
  <c r="BW130" i="2"/>
  <c r="BS130" i="2"/>
  <c r="BQ130" i="2"/>
  <c r="BO130" i="2"/>
  <c r="BK130" i="2"/>
  <c r="BI130" i="2"/>
  <c r="BE130" i="2"/>
  <c r="BC130" i="2"/>
  <c r="AY130" i="2"/>
  <c r="AW130" i="2"/>
  <c r="AS130" i="2"/>
  <c r="AQ130" i="2"/>
  <c r="AM130" i="2"/>
  <c r="AK130" i="2"/>
  <c r="AI130" i="2"/>
  <c r="AE130" i="2"/>
  <c r="AC130" i="2"/>
  <c r="Y130" i="2"/>
  <c r="W130" i="2"/>
  <c r="S130" i="2"/>
  <c r="Q130" i="2"/>
  <c r="M130" i="2"/>
  <c r="K130" i="2"/>
  <c r="GB129" i="2"/>
  <c r="FV129" i="2"/>
  <c r="FP129" i="2"/>
  <c r="FJ129" i="2"/>
  <c r="EZ129" i="2"/>
  <c r="ET129" i="2"/>
  <c r="EN129" i="2"/>
  <c r="EH129" i="2"/>
  <c r="DZ129" i="2"/>
  <c r="DR129" i="2"/>
  <c r="DL129" i="2"/>
  <c r="DF129" i="2"/>
  <c r="CZ129" i="2"/>
  <c r="CT129" i="2"/>
  <c r="CN129" i="2"/>
  <c r="CH129" i="2"/>
  <c r="BU129" i="2"/>
  <c r="BM129" i="2"/>
  <c r="BG129" i="2"/>
  <c r="BA129" i="2"/>
  <c r="AU129" i="2"/>
  <c r="AO129" i="2"/>
  <c r="AG129" i="2"/>
  <c r="AA129" i="2"/>
  <c r="U129" i="2"/>
  <c r="O129" i="2"/>
  <c r="GB128" i="2"/>
  <c r="FV128" i="2"/>
  <c r="FP128" i="2"/>
  <c r="FJ128" i="2"/>
  <c r="EZ128" i="2"/>
  <c r="ET128" i="2"/>
  <c r="EN128" i="2"/>
  <c r="EH128" i="2"/>
  <c r="DZ128" i="2"/>
  <c r="DR128" i="2"/>
  <c r="DL128" i="2"/>
  <c r="DF128" i="2"/>
  <c r="CZ128" i="2"/>
  <c r="CT128" i="2"/>
  <c r="CN128" i="2"/>
  <c r="CH128" i="2"/>
  <c r="BU128" i="2"/>
  <c r="BM128" i="2"/>
  <c r="BG128" i="2"/>
  <c r="BA128" i="2"/>
  <c r="AU128" i="2"/>
  <c r="AO128" i="2"/>
  <c r="AG128" i="2"/>
  <c r="AA128" i="2"/>
  <c r="U128" i="2"/>
  <c r="O128" i="2"/>
  <c r="GB127" i="2"/>
  <c r="FV127" i="2"/>
  <c r="FP127" i="2"/>
  <c r="FJ127" i="2"/>
  <c r="EZ127" i="2"/>
  <c r="ET127" i="2"/>
  <c r="EN127" i="2"/>
  <c r="EH127" i="2"/>
  <c r="DZ127" i="2"/>
  <c r="DR127" i="2"/>
  <c r="DL127" i="2"/>
  <c r="DF127" i="2"/>
  <c r="CZ127" i="2"/>
  <c r="CT127" i="2"/>
  <c r="CN127" i="2"/>
  <c r="CH127" i="2"/>
  <c r="BU127" i="2"/>
  <c r="BM127" i="2"/>
  <c r="BG127" i="2"/>
  <c r="BA127" i="2"/>
  <c r="AU127" i="2"/>
  <c r="AO127" i="2"/>
  <c r="AG127" i="2"/>
  <c r="AA127" i="2"/>
  <c r="U127" i="2"/>
  <c r="O127" i="2"/>
  <c r="GB126" i="2"/>
  <c r="FV126" i="2"/>
  <c r="FP126" i="2"/>
  <c r="FJ126" i="2"/>
  <c r="EZ126" i="2"/>
  <c r="ET126" i="2"/>
  <c r="EN126" i="2"/>
  <c r="EH126" i="2"/>
  <c r="DZ126" i="2"/>
  <c r="DR126" i="2"/>
  <c r="DL126" i="2"/>
  <c r="DF126" i="2"/>
  <c r="CZ126" i="2"/>
  <c r="CT126" i="2"/>
  <c r="CN126" i="2"/>
  <c r="CH126" i="2"/>
  <c r="BU126" i="2"/>
  <c r="BM126" i="2"/>
  <c r="BG126" i="2"/>
  <c r="BA126" i="2"/>
  <c r="AU126" i="2"/>
  <c r="AO126" i="2"/>
  <c r="AG126" i="2"/>
  <c r="AA126" i="2"/>
  <c r="U126" i="2"/>
  <c r="O126" i="2"/>
  <c r="GL125" i="2"/>
  <c r="FR125" i="2"/>
  <c r="FL125" i="2"/>
  <c r="FF125" i="2"/>
  <c r="FD125" i="2"/>
  <c r="EV125" i="2"/>
  <c r="EP125" i="2"/>
  <c r="EJ125" i="2"/>
  <c r="ED125" i="2"/>
  <c r="DV125" i="2"/>
  <c r="CJ125" i="2"/>
  <c r="CD125" i="2"/>
  <c r="CB125" i="2"/>
  <c r="GL124" i="2"/>
  <c r="GL123" i="2"/>
  <c r="GL122" i="2"/>
  <c r="A122" i="2"/>
  <c r="GL121" i="2"/>
  <c r="GL120" i="2"/>
  <c r="GL119" i="2"/>
  <c r="GL118" i="2"/>
  <c r="GL117" i="2"/>
  <c r="GL115" i="2"/>
  <c r="GB114" i="2"/>
  <c r="FV114" i="2"/>
  <c r="FP114" i="2"/>
  <c r="FJ114" i="2"/>
  <c r="EZ114" i="2"/>
  <c r="ET114" i="2"/>
  <c r="EN114" i="2"/>
  <c r="EH114" i="2"/>
  <c r="DZ114" i="2"/>
  <c r="DR114" i="2"/>
  <c r="DL114" i="2"/>
  <c r="DF114" i="2"/>
  <c r="CZ114" i="2"/>
  <c r="CT114" i="2"/>
  <c r="CN114" i="2"/>
  <c r="CH114" i="2"/>
  <c r="BU114" i="2"/>
  <c r="BM114" i="2"/>
  <c r="BG114" i="2"/>
  <c r="BA114" i="2"/>
  <c r="AU114" i="2"/>
  <c r="AO114" i="2"/>
  <c r="AG114" i="2"/>
  <c r="AA114" i="2"/>
  <c r="U114" i="2"/>
  <c r="O114" i="2"/>
  <c r="GL113" i="2"/>
  <c r="CO112" i="2"/>
  <c r="GL111" i="2"/>
  <c r="GB110" i="2"/>
  <c r="FV110" i="2"/>
  <c r="FP110" i="2"/>
  <c r="FJ110" i="2"/>
  <c r="EZ110" i="2"/>
  <c r="ET110" i="2"/>
  <c r="EN110" i="2"/>
  <c r="EH110" i="2"/>
  <c r="DZ110" i="2"/>
  <c r="DR110" i="2"/>
  <c r="DL110" i="2"/>
  <c r="DF110" i="2"/>
  <c r="CZ110" i="2"/>
  <c r="CT110" i="2"/>
  <c r="CN110" i="2"/>
  <c r="CH110" i="2"/>
  <c r="BU110" i="2"/>
  <c r="BM110" i="2"/>
  <c r="BG110" i="2"/>
  <c r="BA110" i="2"/>
  <c r="AU110" i="2"/>
  <c r="AO110" i="2"/>
  <c r="AG110" i="2"/>
  <c r="AA110" i="2"/>
  <c r="U110" i="2"/>
  <c r="O110" i="2"/>
  <c r="GL109" i="2"/>
  <c r="GB108" i="2"/>
  <c r="FV108" i="2"/>
  <c r="FP108" i="2"/>
  <c r="FJ108" i="2"/>
  <c r="EZ108" i="2"/>
  <c r="ET108" i="2"/>
  <c r="EN108" i="2"/>
  <c r="EH108" i="2"/>
  <c r="DZ108" i="2"/>
  <c r="DR108" i="2"/>
  <c r="DL108" i="2"/>
  <c r="DF108" i="2"/>
  <c r="CZ108" i="2"/>
  <c r="CT108" i="2"/>
  <c r="CN108" i="2"/>
  <c r="CH108" i="2"/>
  <c r="BU108" i="2"/>
  <c r="BM108" i="2"/>
  <c r="BG108" i="2"/>
  <c r="BA108" i="2"/>
  <c r="AU108" i="2"/>
  <c r="AO108" i="2"/>
  <c r="AG108" i="2"/>
  <c r="AA108" i="2"/>
  <c r="U108" i="2"/>
  <c r="O108" i="2"/>
  <c r="GL107" i="2"/>
  <c r="GB106" i="2"/>
  <c r="FV106" i="2"/>
  <c r="FP106" i="2"/>
  <c r="FJ106" i="2"/>
  <c r="EZ106" i="2"/>
  <c r="ET106" i="2"/>
  <c r="EN106" i="2"/>
  <c r="EH106" i="2"/>
  <c r="DZ106" i="2"/>
  <c r="DR106" i="2"/>
  <c r="DL106" i="2"/>
  <c r="DF106" i="2"/>
  <c r="CZ106" i="2"/>
  <c r="CT106" i="2"/>
  <c r="CN106" i="2"/>
  <c r="CH106" i="2"/>
  <c r="BU106" i="2"/>
  <c r="BM106" i="2"/>
  <c r="BG106" i="2"/>
  <c r="BA106" i="2"/>
  <c r="AU106" i="2"/>
  <c r="AO106" i="2"/>
  <c r="AG106" i="2"/>
  <c r="AA106" i="2"/>
  <c r="U106" i="2"/>
  <c r="O106" i="2"/>
  <c r="GL105" i="2"/>
  <c r="FZ104" i="2"/>
  <c r="FX104" i="2"/>
  <c r="FT104" i="2"/>
  <c r="FR104" i="2"/>
  <c r="FN104" i="2"/>
  <c r="FL104" i="2"/>
  <c r="FH104" i="2"/>
  <c r="FF104" i="2"/>
  <c r="FD104" i="2"/>
  <c r="FB104" i="2"/>
  <c r="EX104" i="2"/>
  <c r="EV104" i="2"/>
  <c r="ER104" i="2"/>
  <c r="EP104" i="2"/>
  <c r="EL104" i="2"/>
  <c r="EJ104" i="2"/>
  <c r="EF104" i="2"/>
  <c r="ED104" i="2"/>
  <c r="EB104" i="2"/>
  <c r="DX104" i="2"/>
  <c r="DV104" i="2"/>
  <c r="DT104" i="2"/>
  <c r="DP104" i="2"/>
  <c r="DN104" i="2"/>
  <c r="DJ104" i="2"/>
  <c r="DH104" i="2"/>
  <c r="DD104" i="2"/>
  <c r="DB104" i="2"/>
  <c r="CX104" i="2"/>
  <c r="CV104" i="2"/>
  <c r="CR104" i="2"/>
  <c r="CP104" i="2"/>
  <c r="CL104" i="2"/>
  <c r="CJ104" i="2"/>
  <c r="CF104" i="2"/>
  <c r="CD104" i="2"/>
  <c r="CB104" i="2"/>
  <c r="BZ104" i="2"/>
  <c r="BW104" i="2"/>
  <c r="BS104" i="2"/>
  <c r="BQ104" i="2"/>
  <c r="BO104" i="2"/>
  <c r="BK104" i="2"/>
  <c r="BI104" i="2"/>
  <c r="BE104" i="2"/>
  <c r="BC104" i="2"/>
  <c r="AY104" i="2"/>
  <c r="AW104" i="2"/>
  <c r="AS104" i="2"/>
  <c r="AQ104" i="2"/>
  <c r="AM104" i="2"/>
  <c r="AK104" i="2"/>
  <c r="AI104" i="2"/>
  <c r="AE104" i="2"/>
  <c r="AC104" i="2"/>
  <c r="Y104" i="2"/>
  <c r="W104" i="2"/>
  <c r="S104" i="2"/>
  <c r="Q104" i="2"/>
  <c r="M104" i="2"/>
  <c r="K104" i="2"/>
  <c r="GB103" i="2"/>
  <c r="FV103" i="2"/>
  <c r="FP103" i="2"/>
  <c r="FJ103" i="2"/>
  <c r="EZ103" i="2"/>
  <c r="ET103" i="2"/>
  <c r="EN103" i="2"/>
  <c r="EH103" i="2"/>
  <c r="DZ103" i="2"/>
  <c r="DR103" i="2"/>
  <c r="DL103" i="2"/>
  <c r="DF103" i="2"/>
  <c r="CZ103" i="2"/>
  <c r="CT103" i="2"/>
  <c r="CN103" i="2"/>
  <c r="CH103" i="2"/>
  <c r="BU103" i="2"/>
  <c r="BM103" i="2"/>
  <c r="BG103" i="2"/>
  <c r="BA103" i="2"/>
  <c r="AU103" i="2"/>
  <c r="AO103" i="2"/>
  <c r="AG103" i="2"/>
  <c r="AA103" i="2"/>
  <c r="U103" i="2"/>
  <c r="O103" i="2"/>
  <c r="GB102" i="2"/>
  <c r="FV102" i="2"/>
  <c r="FP102" i="2"/>
  <c r="FJ102" i="2"/>
  <c r="EZ102" i="2"/>
  <c r="ET102" i="2"/>
  <c r="EN102" i="2"/>
  <c r="EH102" i="2"/>
  <c r="DZ102" i="2"/>
  <c r="DR102" i="2"/>
  <c r="DL102" i="2"/>
  <c r="DF102" i="2"/>
  <c r="CZ102" i="2"/>
  <c r="CT102" i="2"/>
  <c r="CN102" i="2"/>
  <c r="CH102" i="2"/>
  <c r="BU102" i="2"/>
  <c r="BM102" i="2"/>
  <c r="BG102" i="2"/>
  <c r="BA102" i="2"/>
  <c r="AU102" i="2"/>
  <c r="AO102" i="2"/>
  <c r="AG102" i="2"/>
  <c r="AA102" i="2"/>
  <c r="U102" i="2"/>
  <c r="O102" i="2"/>
  <c r="GB101" i="2"/>
  <c r="FV101" i="2"/>
  <c r="FP101" i="2"/>
  <c r="FJ101" i="2"/>
  <c r="EZ101" i="2"/>
  <c r="ET101" i="2"/>
  <c r="EN101" i="2"/>
  <c r="EH101" i="2"/>
  <c r="DZ101" i="2"/>
  <c r="DR101" i="2"/>
  <c r="DL101" i="2"/>
  <c r="DF101" i="2"/>
  <c r="CZ101" i="2"/>
  <c r="CT101" i="2"/>
  <c r="CN101" i="2"/>
  <c r="CH101" i="2"/>
  <c r="BU101" i="2"/>
  <c r="BM101" i="2"/>
  <c r="BG101" i="2"/>
  <c r="BA101" i="2"/>
  <c r="AU101" i="2"/>
  <c r="AO101" i="2"/>
  <c r="AG101" i="2"/>
  <c r="AA101" i="2"/>
  <c r="U101" i="2"/>
  <c r="O101" i="2"/>
  <c r="GB100" i="2"/>
  <c r="FV100" i="2"/>
  <c r="FV104" i="2" s="1"/>
  <c r="FP100" i="2"/>
  <c r="FJ100" i="2"/>
  <c r="EZ100" i="2"/>
  <c r="ET100" i="2"/>
  <c r="EN100" i="2"/>
  <c r="EH100" i="2"/>
  <c r="DZ100" i="2"/>
  <c r="DR100" i="2"/>
  <c r="DR104" i="2" s="1"/>
  <c r="DL100" i="2"/>
  <c r="DF100" i="2"/>
  <c r="CZ100" i="2"/>
  <c r="CT100" i="2"/>
  <c r="CN100" i="2"/>
  <c r="CH100" i="2"/>
  <c r="BU100" i="2"/>
  <c r="BM100" i="2"/>
  <c r="BG100" i="2"/>
  <c r="BA100" i="2"/>
  <c r="AU100" i="2"/>
  <c r="AO100" i="2"/>
  <c r="AG100" i="2"/>
  <c r="AA100" i="2"/>
  <c r="U100" i="2"/>
  <c r="O100" i="2"/>
  <c r="GL99" i="2"/>
  <c r="GL98" i="2"/>
  <c r="FZ97" i="2"/>
  <c r="FX97" i="2"/>
  <c r="FT97" i="2"/>
  <c r="FR97" i="2"/>
  <c r="FN97" i="2"/>
  <c r="FL97" i="2"/>
  <c r="FH97" i="2"/>
  <c r="FF97" i="2"/>
  <c r="FD97" i="2"/>
  <c r="FB97" i="2"/>
  <c r="EX97" i="2"/>
  <c r="EV97" i="2"/>
  <c r="ER97" i="2"/>
  <c r="EP97" i="2"/>
  <c r="EL97" i="2"/>
  <c r="EJ97" i="2"/>
  <c r="EF97" i="2"/>
  <c r="ED97" i="2"/>
  <c r="EB97" i="2"/>
  <c r="DX97" i="2"/>
  <c r="DV97" i="2"/>
  <c r="DT97" i="2"/>
  <c r="DP97" i="2"/>
  <c r="DN97" i="2"/>
  <c r="DJ97" i="2"/>
  <c r="DH97" i="2"/>
  <c r="DD97" i="2"/>
  <c r="DB97" i="2"/>
  <c r="CX97" i="2"/>
  <c r="CV97" i="2"/>
  <c r="CR97" i="2"/>
  <c r="CP97" i="2"/>
  <c r="CL97" i="2"/>
  <c r="CJ97" i="2"/>
  <c r="CF97" i="2"/>
  <c r="CD97" i="2"/>
  <c r="CB97" i="2"/>
  <c r="BZ97" i="2"/>
  <c r="BW97" i="2"/>
  <c r="BS97" i="2"/>
  <c r="BQ97" i="2"/>
  <c r="BO97" i="2"/>
  <c r="BK97" i="2"/>
  <c r="BI97" i="2"/>
  <c r="BE97" i="2"/>
  <c r="BC97" i="2"/>
  <c r="AY97" i="2"/>
  <c r="AW97" i="2"/>
  <c r="AS97" i="2"/>
  <c r="AQ97" i="2"/>
  <c r="AM97" i="2"/>
  <c r="AK97" i="2"/>
  <c r="AI97" i="2"/>
  <c r="AE97" i="2"/>
  <c r="AC97" i="2"/>
  <c r="Y97" i="2"/>
  <c r="W97" i="2"/>
  <c r="S97" i="2"/>
  <c r="Q97" i="2"/>
  <c r="M97" i="2"/>
  <c r="K97" i="2"/>
  <c r="GB96" i="2"/>
  <c r="FV96" i="2"/>
  <c r="FP96" i="2"/>
  <c r="FJ96" i="2"/>
  <c r="EZ96" i="2"/>
  <c r="ET96" i="2"/>
  <c r="EN96" i="2"/>
  <c r="EH96" i="2"/>
  <c r="DZ96" i="2"/>
  <c r="DR96" i="2"/>
  <c r="DL96" i="2"/>
  <c r="DF96" i="2"/>
  <c r="CZ96" i="2"/>
  <c r="CT96" i="2"/>
  <c r="CN96" i="2"/>
  <c r="CH96" i="2"/>
  <c r="BU96" i="2"/>
  <c r="BM96" i="2"/>
  <c r="BG96" i="2"/>
  <c r="BA96" i="2"/>
  <c r="AU96" i="2"/>
  <c r="AO96" i="2"/>
  <c r="AG96" i="2"/>
  <c r="AA96" i="2"/>
  <c r="U96" i="2"/>
  <c r="O96" i="2"/>
  <c r="GB95" i="2"/>
  <c r="FV95" i="2"/>
  <c r="FP95" i="2"/>
  <c r="FJ95" i="2"/>
  <c r="EZ95" i="2"/>
  <c r="EZ97" i="2" s="1"/>
  <c r="ET95" i="2"/>
  <c r="EN95" i="2"/>
  <c r="EH95" i="2"/>
  <c r="DZ95" i="2"/>
  <c r="DR95" i="2"/>
  <c r="DL95" i="2"/>
  <c r="DF95" i="2"/>
  <c r="CZ95" i="2"/>
  <c r="CT95" i="2"/>
  <c r="CN95" i="2"/>
  <c r="CH95" i="2"/>
  <c r="BU95" i="2"/>
  <c r="BM95" i="2"/>
  <c r="BG95" i="2"/>
  <c r="BA95" i="2"/>
  <c r="AU95" i="2"/>
  <c r="AU97" i="2" s="1"/>
  <c r="AO95" i="2"/>
  <c r="AG95" i="2"/>
  <c r="AA95" i="2"/>
  <c r="U95" i="2"/>
  <c r="O95" i="2"/>
  <c r="GB94" i="2"/>
  <c r="FV94" i="2"/>
  <c r="FP94" i="2"/>
  <c r="FJ94" i="2"/>
  <c r="EZ94" i="2"/>
  <c r="ET94" i="2"/>
  <c r="EN94" i="2"/>
  <c r="EH94" i="2"/>
  <c r="DZ94" i="2"/>
  <c r="DR94" i="2"/>
  <c r="DL94" i="2"/>
  <c r="DF94" i="2"/>
  <c r="CZ94" i="2"/>
  <c r="CT94" i="2"/>
  <c r="CN94" i="2"/>
  <c r="CH94" i="2"/>
  <c r="BU94" i="2"/>
  <c r="BM94" i="2"/>
  <c r="BG94" i="2"/>
  <c r="BA94" i="2"/>
  <c r="AU94" i="2"/>
  <c r="AO94" i="2"/>
  <c r="AG94" i="2"/>
  <c r="AA94" i="2"/>
  <c r="U94" i="2"/>
  <c r="O94" i="2"/>
  <c r="GB93" i="2"/>
  <c r="GB97" i="2" s="1"/>
  <c r="FV93" i="2"/>
  <c r="FP93" i="2"/>
  <c r="FJ93" i="2"/>
  <c r="EZ93" i="2"/>
  <c r="ET93" i="2"/>
  <c r="EN93" i="2"/>
  <c r="EN97" i="2" s="1"/>
  <c r="EH93" i="2"/>
  <c r="DZ93" i="2"/>
  <c r="DZ97" i="2" s="1"/>
  <c r="DR93" i="2"/>
  <c r="DL93" i="2"/>
  <c r="DF93" i="2"/>
  <c r="CZ93" i="2"/>
  <c r="CT93" i="2"/>
  <c r="CN93" i="2"/>
  <c r="CH93" i="2"/>
  <c r="BU93" i="2"/>
  <c r="BU97" i="2" s="1"/>
  <c r="BM93" i="2"/>
  <c r="BG93" i="2"/>
  <c r="BA93" i="2"/>
  <c r="AU93" i="2"/>
  <c r="AO93" i="2"/>
  <c r="AG93" i="2"/>
  <c r="AA93" i="2"/>
  <c r="U93" i="2"/>
  <c r="O93" i="2"/>
  <c r="GL92" i="2"/>
  <c r="GL91" i="2"/>
  <c r="FZ90" i="2"/>
  <c r="FX90" i="2"/>
  <c r="FT90" i="2"/>
  <c r="FR90" i="2"/>
  <c r="FN90" i="2"/>
  <c r="FL90" i="2"/>
  <c r="FH90" i="2"/>
  <c r="FF90" i="2"/>
  <c r="FD90" i="2"/>
  <c r="FB90" i="2"/>
  <c r="EX90" i="2"/>
  <c r="EV90" i="2"/>
  <c r="ER90" i="2"/>
  <c r="EP90" i="2"/>
  <c r="EL90" i="2"/>
  <c r="EJ90" i="2"/>
  <c r="EF90" i="2"/>
  <c r="ED90" i="2"/>
  <c r="EB90" i="2"/>
  <c r="DX90" i="2"/>
  <c r="DV90" i="2"/>
  <c r="DT90" i="2"/>
  <c r="DP90" i="2"/>
  <c r="DN90" i="2"/>
  <c r="DJ90" i="2"/>
  <c r="DH90" i="2"/>
  <c r="DD90" i="2"/>
  <c r="DB90" i="2"/>
  <c r="CX90" i="2"/>
  <c r="CV90" i="2"/>
  <c r="CR90" i="2"/>
  <c r="CP90" i="2"/>
  <c r="CL90" i="2"/>
  <c r="CJ90" i="2"/>
  <c r="CF90" i="2"/>
  <c r="CD90" i="2"/>
  <c r="CB90" i="2"/>
  <c r="BZ90" i="2"/>
  <c r="BW90" i="2"/>
  <c r="BS90" i="2"/>
  <c r="BQ90" i="2"/>
  <c r="BO90" i="2"/>
  <c r="BK90" i="2"/>
  <c r="BI90" i="2"/>
  <c r="BE90" i="2"/>
  <c r="BC90" i="2"/>
  <c r="AY90" i="2"/>
  <c r="AW90" i="2"/>
  <c r="AS90" i="2"/>
  <c r="AQ90" i="2"/>
  <c r="AM90" i="2"/>
  <c r="AK90" i="2"/>
  <c r="AI90" i="2"/>
  <c r="AE90" i="2"/>
  <c r="AC90" i="2"/>
  <c r="Y90" i="2"/>
  <c r="W90" i="2"/>
  <c r="S90" i="2"/>
  <c r="Q90" i="2"/>
  <c r="M90" i="2"/>
  <c r="K90" i="2"/>
  <c r="GB89" i="2"/>
  <c r="FV89" i="2"/>
  <c r="FP89" i="2"/>
  <c r="FJ89" i="2"/>
  <c r="EZ89" i="2"/>
  <c r="ET89" i="2"/>
  <c r="EN89" i="2"/>
  <c r="EH89" i="2"/>
  <c r="DZ89" i="2"/>
  <c r="DR89" i="2"/>
  <c r="DL89" i="2"/>
  <c r="DF89" i="2"/>
  <c r="CZ89" i="2"/>
  <c r="CT89" i="2"/>
  <c r="CN89" i="2"/>
  <c r="CH89" i="2"/>
  <c r="BU89" i="2"/>
  <c r="BM89" i="2"/>
  <c r="BG89" i="2"/>
  <c r="BA89" i="2"/>
  <c r="AU89" i="2"/>
  <c r="AO89" i="2"/>
  <c r="AG89" i="2"/>
  <c r="AA89" i="2"/>
  <c r="U89" i="2"/>
  <c r="O89" i="2"/>
  <c r="GB88" i="2"/>
  <c r="FV88" i="2"/>
  <c r="FP88" i="2"/>
  <c r="FJ88" i="2"/>
  <c r="EZ88" i="2"/>
  <c r="ET88" i="2"/>
  <c r="EN88" i="2"/>
  <c r="EH88" i="2"/>
  <c r="DZ88" i="2"/>
  <c r="DR88" i="2"/>
  <c r="DL88" i="2"/>
  <c r="DF88" i="2"/>
  <c r="CZ88" i="2"/>
  <c r="CT88" i="2"/>
  <c r="CN88" i="2"/>
  <c r="CH88" i="2"/>
  <c r="BU88" i="2"/>
  <c r="BM88" i="2"/>
  <c r="BG88" i="2"/>
  <c r="BA88" i="2"/>
  <c r="AU88" i="2"/>
  <c r="AO88" i="2"/>
  <c r="AG88" i="2"/>
  <c r="AA88" i="2"/>
  <c r="U88" i="2"/>
  <c r="O88" i="2"/>
  <c r="GB87" i="2"/>
  <c r="FV87" i="2"/>
  <c r="FP87" i="2"/>
  <c r="FJ87" i="2"/>
  <c r="EZ87" i="2"/>
  <c r="ET87" i="2"/>
  <c r="EN87" i="2"/>
  <c r="EH87" i="2"/>
  <c r="DZ87" i="2"/>
  <c r="DR87" i="2"/>
  <c r="DL87" i="2"/>
  <c r="DF87" i="2"/>
  <c r="CZ87" i="2"/>
  <c r="CT87" i="2"/>
  <c r="CN87" i="2"/>
  <c r="CH87" i="2"/>
  <c r="BU87" i="2"/>
  <c r="BM87" i="2"/>
  <c r="BG87" i="2"/>
  <c r="BA87" i="2"/>
  <c r="AU87" i="2"/>
  <c r="AO87" i="2"/>
  <c r="AG87" i="2"/>
  <c r="AA87" i="2"/>
  <c r="U87" i="2"/>
  <c r="O87" i="2"/>
  <c r="GB86" i="2"/>
  <c r="FV86" i="2"/>
  <c r="FP86" i="2"/>
  <c r="FJ86" i="2"/>
  <c r="EZ86" i="2"/>
  <c r="ET86" i="2"/>
  <c r="EN86" i="2"/>
  <c r="EH86" i="2"/>
  <c r="DZ86" i="2"/>
  <c r="DR86" i="2"/>
  <c r="DL86" i="2"/>
  <c r="DF86" i="2"/>
  <c r="CZ86" i="2"/>
  <c r="CT86" i="2"/>
  <c r="CN86" i="2"/>
  <c r="CH86" i="2"/>
  <c r="BU86" i="2"/>
  <c r="BM86" i="2"/>
  <c r="BG86" i="2"/>
  <c r="BA86" i="2"/>
  <c r="AU86" i="2"/>
  <c r="AO86" i="2"/>
  <c r="AG86" i="2"/>
  <c r="AA86" i="2"/>
  <c r="U86" i="2"/>
  <c r="O86" i="2"/>
  <c r="GB85" i="2"/>
  <c r="FV85" i="2"/>
  <c r="FP85" i="2"/>
  <c r="FJ85" i="2"/>
  <c r="EZ85" i="2"/>
  <c r="ET85" i="2"/>
  <c r="EN85" i="2"/>
  <c r="EH85" i="2"/>
  <c r="DZ85" i="2"/>
  <c r="DR85" i="2"/>
  <c r="DL85" i="2"/>
  <c r="DF85" i="2"/>
  <c r="CZ85" i="2"/>
  <c r="CT85" i="2"/>
  <c r="CN85" i="2"/>
  <c r="CH85" i="2"/>
  <c r="BU85" i="2"/>
  <c r="BM85" i="2"/>
  <c r="BG85" i="2"/>
  <c r="BA85" i="2"/>
  <c r="AU85" i="2"/>
  <c r="AO85" i="2"/>
  <c r="AG85" i="2"/>
  <c r="AA85" i="2"/>
  <c r="U85" i="2"/>
  <c r="O85" i="2"/>
  <c r="GB84" i="2"/>
  <c r="FV84" i="2"/>
  <c r="FP84" i="2"/>
  <c r="FJ84" i="2"/>
  <c r="EZ84" i="2"/>
  <c r="ET84" i="2"/>
  <c r="EN84" i="2"/>
  <c r="EH84" i="2"/>
  <c r="DZ84" i="2"/>
  <c r="DR84" i="2"/>
  <c r="DL84" i="2"/>
  <c r="DF84" i="2"/>
  <c r="CZ84" i="2"/>
  <c r="CT84" i="2"/>
  <c r="CN84" i="2"/>
  <c r="CH84" i="2"/>
  <c r="BU84" i="2"/>
  <c r="BM84" i="2"/>
  <c r="BG84" i="2"/>
  <c r="BA84" i="2"/>
  <c r="AU84" i="2"/>
  <c r="AO84" i="2"/>
  <c r="AG84" i="2"/>
  <c r="AA84" i="2"/>
  <c r="U84" i="2"/>
  <c r="O84" i="2"/>
  <c r="GB83" i="2"/>
  <c r="FV83" i="2"/>
  <c r="FP83" i="2"/>
  <c r="FJ83" i="2"/>
  <c r="EZ83" i="2"/>
  <c r="ET83" i="2"/>
  <c r="EN83" i="2"/>
  <c r="EH83" i="2"/>
  <c r="DZ83" i="2"/>
  <c r="DR83" i="2"/>
  <c r="DL83" i="2"/>
  <c r="DF83" i="2"/>
  <c r="CZ83" i="2"/>
  <c r="CT83" i="2"/>
  <c r="CN83" i="2"/>
  <c r="CH83" i="2"/>
  <c r="BU83" i="2"/>
  <c r="BM83" i="2"/>
  <c r="BG83" i="2"/>
  <c r="BA83" i="2"/>
  <c r="AU83" i="2"/>
  <c r="AO83" i="2"/>
  <c r="AG83" i="2"/>
  <c r="AA83" i="2"/>
  <c r="U83" i="2"/>
  <c r="O83" i="2"/>
  <c r="GL82" i="2"/>
  <c r="GL81" i="2"/>
  <c r="GL80" i="2"/>
  <c r="GL79" i="2"/>
  <c r="GL78" i="2"/>
  <c r="GL77" i="2"/>
  <c r="GL76" i="2"/>
  <c r="FZ75" i="2"/>
  <c r="FX75" i="2"/>
  <c r="FT75" i="2"/>
  <c r="FR75" i="2"/>
  <c r="FN75" i="2"/>
  <c r="FL75" i="2"/>
  <c r="FH75" i="2"/>
  <c r="FF75" i="2"/>
  <c r="FD75" i="2"/>
  <c r="FB75" i="2"/>
  <c r="EX75" i="2"/>
  <c r="EV75" i="2"/>
  <c r="ER75" i="2"/>
  <c r="EP75" i="2"/>
  <c r="EL75" i="2"/>
  <c r="EJ75" i="2"/>
  <c r="EF75" i="2"/>
  <c r="ED75" i="2"/>
  <c r="EB75" i="2"/>
  <c r="DX75" i="2"/>
  <c r="DV75" i="2"/>
  <c r="DT75" i="2"/>
  <c r="DP75" i="2"/>
  <c r="DN75" i="2"/>
  <c r="DJ75" i="2"/>
  <c r="DH75" i="2"/>
  <c r="DD75" i="2"/>
  <c r="DB75" i="2"/>
  <c r="CX75" i="2"/>
  <c r="CV75" i="2"/>
  <c r="CR75" i="2"/>
  <c r="CP75" i="2"/>
  <c r="CL75" i="2"/>
  <c r="CJ75" i="2"/>
  <c r="CF75" i="2"/>
  <c r="CD75" i="2"/>
  <c r="CB75" i="2"/>
  <c r="BZ75" i="2"/>
  <c r="BW75" i="2"/>
  <c r="BS75" i="2"/>
  <c r="BQ75" i="2"/>
  <c r="BO75" i="2"/>
  <c r="BK75" i="2"/>
  <c r="BI75" i="2"/>
  <c r="BE75" i="2"/>
  <c r="BC75" i="2"/>
  <c r="AY75" i="2"/>
  <c r="AW75" i="2"/>
  <c r="AS75" i="2"/>
  <c r="AQ75" i="2"/>
  <c r="AM75" i="2"/>
  <c r="AK75" i="2"/>
  <c r="AI75" i="2"/>
  <c r="AE75" i="2"/>
  <c r="AC75" i="2"/>
  <c r="Y75" i="2"/>
  <c r="W75" i="2"/>
  <c r="S75" i="2"/>
  <c r="Q75" i="2"/>
  <c r="M75" i="2"/>
  <c r="K75" i="2"/>
  <c r="GB74" i="2"/>
  <c r="FV74" i="2"/>
  <c r="FP74" i="2"/>
  <c r="FJ74" i="2"/>
  <c r="EZ74" i="2"/>
  <c r="ET74" i="2"/>
  <c r="EN74" i="2"/>
  <c r="EH74" i="2"/>
  <c r="DZ74" i="2"/>
  <c r="DR74" i="2"/>
  <c r="DL74" i="2"/>
  <c r="DF74" i="2"/>
  <c r="CZ74" i="2"/>
  <c r="CT74" i="2"/>
  <c r="CN74" i="2"/>
  <c r="CH74" i="2"/>
  <c r="BU74" i="2"/>
  <c r="BM74" i="2"/>
  <c r="BG74" i="2"/>
  <c r="BA74" i="2"/>
  <c r="AU74" i="2"/>
  <c r="AO74" i="2"/>
  <c r="AO75" i="2" s="1"/>
  <c r="AG74" i="2"/>
  <c r="AA74" i="2"/>
  <c r="U74" i="2"/>
  <c r="O74" i="2"/>
  <c r="GB73" i="2"/>
  <c r="FV73" i="2"/>
  <c r="FP73" i="2"/>
  <c r="FJ73" i="2"/>
  <c r="EZ73" i="2"/>
  <c r="ET73" i="2"/>
  <c r="EN73" i="2"/>
  <c r="EH73" i="2"/>
  <c r="DZ73" i="2"/>
  <c r="DR73" i="2"/>
  <c r="DL73" i="2"/>
  <c r="DF73" i="2"/>
  <c r="CZ73" i="2"/>
  <c r="CT73" i="2"/>
  <c r="CN73" i="2"/>
  <c r="CH73" i="2"/>
  <c r="BU73" i="2"/>
  <c r="BM73" i="2"/>
  <c r="BG73" i="2"/>
  <c r="BA73" i="2"/>
  <c r="AU73" i="2"/>
  <c r="AO73" i="2"/>
  <c r="AG73" i="2"/>
  <c r="AA73" i="2"/>
  <c r="U73" i="2"/>
  <c r="O73" i="2"/>
  <c r="GB72" i="2"/>
  <c r="FV72" i="2"/>
  <c r="FP72" i="2"/>
  <c r="FJ72" i="2"/>
  <c r="EZ72" i="2"/>
  <c r="ET72" i="2"/>
  <c r="EN72" i="2"/>
  <c r="EH72" i="2"/>
  <c r="DZ72" i="2"/>
  <c r="DR72" i="2"/>
  <c r="DL72" i="2"/>
  <c r="DF72" i="2"/>
  <c r="CZ72" i="2"/>
  <c r="CT72" i="2"/>
  <c r="CN72" i="2"/>
  <c r="CH72" i="2"/>
  <c r="BU72" i="2"/>
  <c r="BM72" i="2"/>
  <c r="BG72" i="2"/>
  <c r="BA72" i="2"/>
  <c r="AU72" i="2"/>
  <c r="AO72" i="2"/>
  <c r="AG72" i="2"/>
  <c r="AA72" i="2"/>
  <c r="U72" i="2"/>
  <c r="O72" i="2"/>
  <c r="GB71" i="2"/>
  <c r="GB75" i="2" s="1"/>
  <c r="FV71" i="2"/>
  <c r="FP71" i="2"/>
  <c r="FJ71" i="2"/>
  <c r="EZ71" i="2"/>
  <c r="ET71" i="2"/>
  <c r="EN71" i="2"/>
  <c r="EH71" i="2"/>
  <c r="EH75" i="2" s="1"/>
  <c r="DZ71" i="2"/>
  <c r="DR71" i="2"/>
  <c r="DL71" i="2"/>
  <c r="DF71" i="2"/>
  <c r="CZ71" i="2"/>
  <c r="CT71" i="2"/>
  <c r="CN71" i="2"/>
  <c r="CH71" i="2"/>
  <c r="CH75" i="2" s="1"/>
  <c r="BU71" i="2"/>
  <c r="BM71" i="2"/>
  <c r="BG71" i="2"/>
  <c r="BA71" i="2"/>
  <c r="AU71" i="2"/>
  <c r="AO71" i="2"/>
  <c r="AG71" i="2"/>
  <c r="AA71" i="2"/>
  <c r="U71" i="2"/>
  <c r="O71" i="2"/>
  <c r="GL70" i="2"/>
  <c r="GL69" i="2"/>
  <c r="GB68" i="2"/>
  <c r="FV68" i="2"/>
  <c r="FP68" i="2"/>
  <c r="FJ68" i="2"/>
  <c r="EZ68" i="2"/>
  <c r="ET68" i="2"/>
  <c r="EN68" i="2"/>
  <c r="EH68" i="2"/>
  <c r="DZ68" i="2"/>
  <c r="DR68" i="2"/>
  <c r="DL68" i="2"/>
  <c r="DF68" i="2"/>
  <c r="CZ68" i="2"/>
  <c r="CT68" i="2"/>
  <c r="CN68" i="2"/>
  <c r="CH68" i="2"/>
  <c r="BU68" i="2"/>
  <c r="BM68" i="2"/>
  <c r="BG68" i="2"/>
  <c r="BA68" i="2"/>
  <c r="AU68" i="2"/>
  <c r="AO68" i="2"/>
  <c r="AG68" i="2"/>
  <c r="AA68" i="2"/>
  <c r="U68" i="2"/>
  <c r="O68" i="2"/>
  <c r="GL67" i="2"/>
  <c r="GB66" i="2"/>
  <c r="FV66" i="2"/>
  <c r="FP66" i="2"/>
  <c r="FJ66" i="2"/>
  <c r="EZ66" i="2"/>
  <c r="ET66" i="2"/>
  <c r="EN66" i="2"/>
  <c r="EH66" i="2"/>
  <c r="DZ66" i="2"/>
  <c r="DR66" i="2"/>
  <c r="DL66" i="2"/>
  <c r="DF66" i="2"/>
  <c r="CZ66" i="2"/>
  <c r="CT66" i="2"/>
  <c r="CN66" i="2"/>
  <c r="CH66" i="2"/>
  <c r="BU66" i="2"/>
  <c r="BM66" i="2"/>
  <c r="BG66" i="2"/>
  <c r="BA66" i="2"/>
  <c r="AU66" i="2"/>
  <c r="AO66" i="2"/>
  <c r="AG66" i="2"/>
  <c r="AA66" i="2"/>
  <c r="U66" i="2"/>
  <c r="O66" i="2"/>
  <c r="GL65" i="2"/>
  <c r="GB64" i="2"/>
  <c r="FV64" i="2"/>
  <c r="FP64" i="2"/>
  <c r="FJ64" i="2"/>
  <c r="EZ64" i="2"/>
  <c r="ET64" i="2"/>
  <c r="EN64" i="2"/>
  <c r="EH64" i="2"/>
  <c r="DZ64" i="2"/>
  <c r="DR64" i="2"/>
  <c r="DL64" i="2"/>
  <c r="DF64" i="2"/>
  <c r="CZ64" i="2"/>
  <c r="CT64" i="2"/>
  <c r="CN64" i="2"/>
  <c r="CH64" i="2"/>
  <c r="BU64" i="2"/>
  <c r="BM64" i="2"/>
  <c r="BG64" i="2"/>
  <c r="BA64" i="2"/>
  <c r="AU64" i="2"/>
  <c r="AO64" i="2"/>
  <c r="AG64" i="2"/>
  <c r="AA64" i="2"/>
  <c r="U64" i="2"/>
  <c r="O64" i="2"/>
  <c r="GL63" i="2"/>
  <c r="GB62" i="2"/>
  <c r="FV62" i="2"/>
  <c r="FP62" i="2"/>
  <c r="FJ62" i="2"/>
  <c r="EZ62" i="2"/>
  <c r="ET62" i="2"/>
  <c r="EN62" i="2"/>
  <c r="EH62" i="2"/>
  <c r="DZ62" i="2"/>
  <c r="DR62" i="2"/>
  <c r="DL62" i="2"/>
  <c r="DF62" i="2"/>
  <c r="CZ62" i="2"/>
  <c r="CT62" i="2"/>
  <c r="CN62" i="2"/>
  <c r="CH62" i="2"/>
  <c r="BU62" i="2"/>
  <c r="BM62" i="2"/>
  <c r="BG62" i="2"/>
  <c r="BA62" i="2"/>
  <c r="AU62" i="2"/>
  <c r="AO62" i="2"/>
  <c r="AG62" i="2"/>
  <c r="AA62" i="2"/>
  <c r="U62" i="2"/>
  <c r="O62" i="2"/>
  <c r="GL61" i="2"/>
  <c r="GB60" i="2"/>
  <c r="FV60" i="2"/>
  <c r="FP60" i="2"/>
  <c r="FJ60" i="2"/>
  <c r="EZ60" i="2"/>
  <c r="ET60" i="2"/>
  <c r="EN60" i="2"/>
  <c r="EH60" i="2"/>
  <c r="DZ60" i="2"/>
  <c r="DR60" i="2"/>
  <c r="DL60" i="2"/>
  <c r="DF60" i="2"/>
  <c r="CZ60" i="2"/>
  <c r="CT60" i="2"/>
  <c r="CN60" i="2"/>
  <c r="CH60" i="2"/>
  <c r="BU60" i="2"/>
  <c r="BM60" i="2"/>
  <c r="BG60" i="2"/>
  <c r="BA60" i="2"/>
  <c r="AU60" i="2"/>
  <c r="AO60" i="2"/>
  <c r="AG60" i="2"/>
  <c r="AA60" i="2"/>
  <c r="U60" i="2"/>
  <c r="O60" i="2"/>
  <c r="GL59" i="2"/>
  <c r="FZ58" i="2"/>
  <c r="FX58" i="2"/>
  <c r="FT58" i="2"/>
  <c r="FR58" i="2"/>
  <c r="FN58" i="2"/>
  <c r="FL58" i="2"/>
  <c r="FH58" i="2"/>
  <c r="FF58" i="2"/>
  <c r="FD58" i="2"/>
  <c r="FB58" i="2"/>
  <c r="EV58" i="2"/>
  <c r="ER58" i="2"/>
  <c r="EP58" i="2"/>
  <c r="EL58" i="2"/>
  <c r="EJ58" i="2"/>
  <c r="EF58" i="2"/>
  <c r="ED58" i="2"/>
  <c r="EB58" i="2"/>
  <c r="DX58" i="2"/>
  <c r="DV58" i="2"/>
  <c r="DT58" i="2"/>
  <c r="DP58" i="2"/>
  <c r="DN58" i="2"/>
  <c r="DJ58" i="2"/>
  <c r="DH58" i="2"/>
  <c r="DD58" i="2"/>
  <c r="DB58" i="2"/>
  <c r="CX58" i="2"/>
  <c r="CV58" i="2"/>
  <c r="CR58" i="2"/>
  <c r="CP58" i="2"/>
  <c r="CL58" i="2"/>
  <c r="CJ58" i="2"/>
  <c r="CF58" i="2"/>
  <c r="CD58" i="2"/>
  <c r="CB58" i="2"/>
  <c r="BZ58" i="2"/>
  <c r="BW58" i="2"/>
  <c r="BS58" i="2"/>
  <c r="BQ58" i="2"/>
  <c r="BO58" i="2"/>
  <c r="BK58" i="2"/>
  <c r="BI58" i="2"/>
  <c r="BE58" i="2"/>
  <c r="BC58" i="2"/>
  <c r="AY58" i="2"/>
  <c r="AW58" i="2"/>
  <c r="AS58" i="2"/>
  <c r="AQ58" i="2"/>
  <c r="AM58" i="2"/>
  <c r="AK58" i="2"/>
  <c r="AI58" i="2"/>
  <c r="AE58" i="2"/>
  <c r="AC58" i="2"/>
  <c r="Y58" i="2"/>
  <c r="W58" i="2"/>
  <c r="S58" i="2"/>
  <c r="Q58" i="2"/>
  <c r="M58" i="2"/>
  <c r="K58" i="2"/>
  <c r="GB57" i="2"/>
  <c r="FV57" i="2"/>
  <c r="FP57" i="2"/>
  <c r="FJ57" i="2"/>
  <c r="EX57" i="2"/>
  <c r="ET57" i="2"/>
  <c r="EN57" i="2"/>
  <c r="EH57" i="2"/>
  <c r="DZ57" i="2"/>
  <c r="DR57" i="2"/>
  <c r="DL57" i="2"/>
  <c r="DF57" i="2"/>
  <c r="CZ57" i="2"/>
  <c r="CT57" i="2"/>
  <c r="CN57" i="2"/>
  <c r="CH57" i="2"/>
  <c r="BU57" i="2"/>
  <c r="BM57" i="2"/>
  <c r="BG57" i="2"/>
  <c r="BA57" i="2"/>
  <c r="AU57" i="2"/>
  <c r="AO57" i="2"/>
  <c r="AG57" i="2"/>
  <c r="AA57" i="2"/>
  <c r="U57" i="2"/>
  <c r="O57" i="2"/>
  <c r="GB56" i="2"/>
  <c r="FV56" i="2"/>
  <c r="FP56" i="2"/>
  <c r="FJ56" i="2"/>
  <c r="EZ56" i="2"/>
  <c r="ET56" i="2"/>
  <c r="EN56" i="2"/>
  <c r="EH56" i="2"/>
  <c r="DZ56" i="2"/>
  <c r="DR56" i="2"/>
  <c r="DL56" i="2"/>
  <c r="DF56" i="2"/>
  <c r="CZ56" i="2"/>
  <c r="CT56" i="2"/>
  <c r="CN56" i="2"/>
  <c r="CH56" i="2"/>
  <c r="BU56" i="2"/>
  <c r="BM56" i="2"/>
  <c r="BG56" i="2"/>
  <c r="BA56" i="2"/>
  <c r="AU56" i="2"/>
  <c r="AO56" i="2"/>
  <c r="AG56" i="2"/>
  <c r="AA56" i="2"/>
  <c r="U56" i="2"/>
  <c r="O56" i="2"/>
  <c r="GB55" i="2"/>
  <c r="FV55" i="2"/>
  <c r="FP55" i="2"/>
  <c r="FJ55" i="2"/>
  <c r="EZ55" i="2"/>
  <c r="ET55" i="2"/>
  <c r="EN55" i="2"/>
  <c r="EH55" i="2"/>
  <c r="DZ55" i="2"/>
  <c r="DR55" i="2"/>
  <c r="DL55" i="2"/>
  <c r="DF55" i="2"/>
  <c r="CZ55" i="2"/>
  <c r="CT55" i="2"/>
  <c r="CN55" i="2"/>
  <c r="CH55" i="2"/>
  <c r="BU55" i="2"/>
  <c r="BM55" i="2"/>
  <c r="BG55" i="2"/>
  <c r="BA55" i="2"/>
  <c r="AU55" i="2"/>
  <c r="AO55" i="2"/>
  <c r="AG55" i="2"/>
  <c r="AA55" i="2"/>
  <c r="U55" i="2"/>
  <c r="O55" i="2"/>
  <c r="GB54" i="2"/>
  <c r="FV54" i="2"/>
  <c r="FP54" i="2"/>
  <c r="FJ54" i="2"/>
  <c r="EZ54" i="2"/>
  <c r="ET54" i="2"/>
  <c r="EN54" i="2"/>
  <c r="EH54" i="2"/>
  <c r="DZ54" i="2"/>
  <c r="DR54" i="2"/>
  <c r="DL54" i="2"/>
  <c r="DF54" i="2"/>
  <c r="CZ54" i="2"/>
  <c r="CT54" i="2"/>
  <c r="CN54" i="2"/>
  <c r="CH54" i="2"/>
  <c r="BU54" i="2"/>
  <c r="BM54" i="2"/>
  <c r="BG54" i="2"/>
  <c r="BA54" i="2"/>
  <c r="AU54" i="2"/>
  <c r="AO54" i="2"/>
  <c r="AG54" i="2"/>
  <c r="AA54" i="2"/>
  <c r="U54" i="2"/>
  <c r="O54" i="2"/>
  <c r="GB53" i="2"/>
  <c r="FV53" i="2"/>
  <c r="FP53" i="2"/>
  <c r="FJ53" i="2"/>
  <c r="EZ53" i="2"/>
  <c r="ET53" i="2"/>
  <c r="EN53" i="2"/>
  <c r="EH53" i="2"/>
  <c r="DZ53" i="2"/>
  <c r="DR53" i="2"/>
  <c r="DL53" i="2"/>
  <c r="DF53" i="2"/>
  <c r="CZ53" i="2"/>
  <c r="CT53" i="2"/>
  <c r="CN53" i="2"/>
  <c r="CH53" i="2"/>
  <c r="BU53" i="2"/>
  <c r="BM53" i="2"/>
  <c r="BG53" i="2"/>
  <c r="BA53" i="2"/>
  <c r="AU53" i="2"/>
  <c r="AO53" i="2"/>
  <c r="AG53" i="2"/>
  <c r="AA53" i="2"/>
  <c r="U53" i="2"/>
  <c r="O53" i="2"/>
  <c r="GB52" i="2"/>
  <c r="FV52" i="2"/>
  <c r="FP52" i="2"/>
  <c r="FJ52" i="2"/>
  <c r="EZ52" i="2"/>
  <c r="ET52" i="2"/>
  <c r="EN52" i="2"/>
  <c r="EH52" i="2"/>
  <c r="DZ52" i="2"/>
  <c r="DR52" i="2"/>
  <c r="DL52" i="2"/>
  <c r="DF52" i="2"/>
  <c r="CZ52" i="2"/>
  <c r="CT52" i="2"/>
  <c r="CN52" i="2"/>
  <c r="CH52" i="2"/>
  <c r="BU52" i="2"/>
  <c r="BM52" i="2"/>
  <c r="BG52" i="2"/>
  <c r="BA52" i="2"/>
  <c r="AU52" i="2"/>
  <c r="AO52" i="2"/>
  <c r="AG52" i="2"/>
  <c r="AA52" i="2"/>
  <c r="U52" i="2"/>
  <c r="O52" i="2"/>
  <c r="GL51" i="2"/>
  <c r="FZ50" i="2"/>
  <c r="FX50" i="2"/>
  <c r="FT50" i="2"/>
  <c r="FR50" i="2"/>
  <c r="FN50" i="2"/>
  <c r="FL50" i="2"/>
  <c r="FH50" i="2"/>
  <c r="FF50" i="2"/>
  <c r="FD50" i="2"/>
  <c r="FB50" i="2"/>
  <c r="EX50" i="2"/>
  <c r="EV50" i="2"/>
  <c r="ER50" i="2"/>
  <c r="EP50" i="2"/>
  <c r="EL50" i="2"/>
  <c r="EJ50" i="2"/>
  <c r="EF50" i="2"/>
  <c r="ED50" i="2"/>
  <c r="EB50" i="2"/>
  <c r="DX50" i="2"/>
  <c r="DV50" i="2"/>
  <c r="DT50" i="2"/>
  <c r="DP50" i="2"/>
  <c r="DN50" i="2"/>
  <c r="DJ50" i="2"/>
  <c r="DH50" i="2"/>
  <c r="DD50" i="2"/>
  <c r="DB50" i="2"/>
  <c r="CX50" i="2"/>
  <c r="CV50" i="2"/>
  <c r="CR50" i="2"/>
  <c r="CP50" i="2"/>
  <c r="CL50" i="2"/>
  <c r="CJ50" i="2"/>
  <c r="CF50" i="2"/>
  <c r="CD50" i="2"/>
  <c r="CB50" i="2"/>
  <c r="BZ50" i="2"/>
  <c r="BW50" i="2"/>
  <c r="BS50" i="2"/>
  <c r="BQ50" i="2"/>
  <c r="BO50" i="2"/>
  <c r="BK50" i="2"/>
  <c r="BI50" i="2"/>
  <c r="BE50" i="2"/>
  <c r="BC50" i="2"/>
  <c r="AY50" i="2"/>
  <c r="AW50" i="2"/>
  <c r="AS50" i="2"/>
  <c r="AQ50" i="2"/>
  <c r="AM50" i="2"/>
  <c r="AK50" i="2"/>
  <c r="AI50" i="2"/>
  <c r="AE50" i="2"/>
  <c r="AC50" i="2"/>
  <c r="Y50" i="2"/>
  <c r="W50" i="2"/>
  <c r="S50" i="2"/>
  <c r="Q50" i="2"/>
  <c r="M50" i="2"/>
  <c r="K50" i="2"/>
  <c r="GB49" i="2"/>
  <c r="FV49" i="2"/>
  <c r="FP49" i="2"/>
  <c r="FJ49" i="2"/>
  <c r="EZ49" i="2"/>
  <c r="ET49" i="2"/>
  <c r="EN49" i="2"/>
  <c r="EH49" i="2"/>
  <c r="EH50" i="2" s="1"/>
  <c r="DZ49" i="2"/>
  <c r="DR49" i="2"/>
  <c r="DL49" i="2"/>
  <c r="DF49" i="2"/>
  <c r="CZ49" i="2"/>
  <c r="CT49" i="2"/>
  <c r="CN49" i="2"/>
  <c r="CH49" i="2"/>
  <c r="BU49" i="2"/>
  <c r="BM49" i="2"/>
  <c r="BG49" i="2"/>
  <c r="BA49" i="2"/>
  <c r="AU49" i="2"/>
  <c r="AO49" i="2"/>
  <c r="AG49" i="2"/>
  <c r="AA49" i="2"/>
  <c r="GK49" i="2" s="1"/>
  <c r="GL49" i="2" s="1"/>
  <c r="U49" i="2"/>
  <c r="O49" i="2"/>
  <c r="GB48" i="2"/>
  <c r="FV48" i="2"/>
  <c r="FP48" i="2"/>
  <c r="FJ48" i="2"/>
  <c r="EZ48" i="2"/>
  <c r="ET48" i="2"/>
  <c r="EN48" i="2"/>
  <c r="EH48" i="2"/>
  <c r="DZ48" i="2"/>
  <c r="DR48" i="2"/>
  <c r="DL48" i="2"/>
  <c r="DF48" i="2"/>
  <c r="CZ48" i="2"/>
  <c r="CT48" i="2"/>
  <c r="CN48" i="2"/>
  <c r="CH48" i="2"/>
  <c r="BU48" i="2"/>
  <c r="BM48" i="2"/>
  <c r="BG48" i="2"/>
  <c r="BA48" i="2"/>
  <c r="AU48" i="2"/>
  <c r="AO48" i="2"/>
  <c r="AG48" i="2"/>
  <c r="AA48" i="2"/>
  <c r="U48" i="2"/>
  <c r="O48" i="2"/>
  <c r="GB47" i="2"/>
  <c r="FV47" i="2"/>
  <c r="FP47" i="2"/>
  <c r="FJ47" i="2"/>
  <c r="EZ47" i="2"/>
  <c r="ET47" i="2"/>
  <c r="EN47" i="2"/>
  <c r="EH47" i="2"/>
  <c r="DZ47" i="2"/>
  <c r="DR47" i="2"/>
  <c r="DL47" i="2"/>
  <c r="DF47" i="2"/>
  <c r="CZ47" i="2"/>
  <c r="CT47" i="2"/>
  <c r="CN47" i="2"/>
  <c r="CH47" i="2"/>
  <c r="BU47" i="2"/>
  <c r="BM47" i="2"/>
  <c r="BG47" i="2"/>
  <c r="BA47" i="2"/>
  <c r="AU47" i="2"/>
  <c r="AO47" i="2"/>
  <c r="AG47" i="2"/>
  <c r="AA47" i="2"/>
  <c r="U47" i="2"/>
  <c r="O47" i="2"/>
  <c r="GB46" i="2"/>
  <c r="GB50" i="2" s="1"/>
  <c r="FV46" i="2"/>
  <c r="FP46" i="2"/>
  <c r="FJ46" i="2"/>
  <c r="EZ46" i="2"/>
  <c r="ET46" i="2"/>
  <c r="EN46" i="2"/>
  <c r="EH46" i="2"/>
  <c r="DZ46" i="2"/>
  <c r="DR46" i="2"/>
  <c r="DR50" i="2" s="1"/>
  <c r="DL46" i="2"/>
  <c r="DF46" i="2"/>
  <c r="CZ46" i="2"/>
  <c r="CT46" i="2"/>
  <c r="CN46" i="2"/>
  <c r="CH46" i="2"/>
  <c r="BU46" i="2"/>
  <c r="BU50" i="2" s="1"/>
  <c r="BM46" i="2"/>
  <c r="BG46" i="2"/>
  <c r="BA46" i="2"/>
  <c r="AU46" i="2"/>
  <c r="AO46" i="2"/>
  <c r="AG46" i="2"/>
  <c r="AA46" i="2"/>
  <c r="U46" i="2"/>
  <c r="O46" i="2"/>
  <c r="GL45" i="2"/>
  <c r="GB45" i="2"/>
  <c r="FV45" i="2"/>
  <c r="FP45" i="2"/>
  <c r="FJ45" i="2"/>
  <c r="EZ45" i="2"/>
  <c r="ET45" i="2"/>
  <c r="EN45" i="2"/>
  <c r="EH45" i="2"/>
  <c r="DZ45" i="2"/>
  <c r="DR45" i="2"/>
  <c r="DL45" i="2"/>
  <c r="DF45" i="2"/>
  <c r="CZ45" i="2"/>
  <c r="CT45" i="2"/>
  <c r="CN45" i="2"/>
  <c r="CH45" i="2"/>
  <c r="BU45" i="2"/>
  <c r="BM45" i="2"/>
  <c r="BG45" i="2"/>
  <c r="BA45" i="2"/>
  <c r="AU45" i="2"/>
  <c r="AO45" i="2"/>
  <c r="AG45" i="2"/>
  <c r="AA45" i="2"/>
  <c r="U45" i="2"/>
  <c r="O45" i="2"/>
  <c r="GL44" i="2"/>
  <c r="GL43" i="2"/>
  <c r="FZ42" i="2"/>
  <c r="FX42" i="2"/>
  <c r="FT42" i="2"/>
  <c r="FR42" i="2"/>
  <c r="FN42" i="2"/>
  <c r="FL42" i="2"/>
  <c r="FH42" i="2"/>
  <c r="FF42" i="2"/>
  <c r="FD42" i="2"/>
  <c r="FB42" i="2"/>
  <c r="EX42" i="2"/>
  <c r="EV42" i="2"/>
  <c r="ER42" i="2"/>
  <c r="EP42" i="2"/>
  <c r="EL42" i="2"/>
  <c r="EJ42" i="2"/>
  <c r="EF42" i="2"/>
  <c r="ED42" i="2"/>
  <c r="EB42" i="2"/>
  <c r="DX42" i="2"/>
  <c r="DV42" i="2"/>
  <c r="DT42" i="2"/>
  <c r="DP42" i="2"/>
  <c r="DN42" i="2"/>
  <c r="DJ42" i="2"/>
  <c r="DH42" i="2"/>
  <c r="DD42" i="2"/>
  <c r="DB42" i="2"/>
  <c r="CX42" i="2"/>
  <c r="CV42" i="2"/>
  <c r="CR42" i="2"/>
  <c r="CP42" i="2"/>
  <c r="CL42" i="2"/>
  <c r="CJ42" i="2"/>
  <c r="CF42" i="2"/>
  <c r="CD42" i="2"/>
  <c r="CB42" i="2"/>
  <c r="BZ42" i="2"/>
  <c r="BW42" i="2"/>
  <c r="BS42" i="2"/>
  <c r="BQ42" i="2"/>
  <c r="BO42" i="2"/>
  <c r="BK42" i="2"/>
  <c r="BI42" i="2"/>
  <c r="BE42" i="2"/>
  <c r="BC42" i="2"/>
  <c r="AY42" i="2"/>
  <c r="AW42" i="2"/>
  <c r="AS42" i="2"/>
  <c r="AQ42" i="2"/>
  <c r="AM42" i="2"/>
  <c r="AK42" i="2"/>
  <c r="AI42" i="2"/>
  <c r="AE42" i="2"/>
  <c r="AC42" i="2"/>
  <c r="Y42" i="2"/>
  <c r="W42" i="2"/>
  <c r="S42" i="2"/>
  <c r="Q42" i="2"/>
  <c r="M42" i="2"/>
  <c r="K42" i="2"/>
  <c r="GB41" i="2"/>
  <c r="FV41" i="2"/>
  <c r="FP41" i="2"/>
  <c r="FJ41" i="2"/>
  <c r="EZ41" i="2"/>
  <c r="ET41" i="2"/>
  <c r="EN41" i="2"/>
  <c r="EH41" i="2"/>
  <c r="DZ41" i="2"/>
  <c r="DR41" i="2"/>
  <c r="DL41" i="2"/>
  <c r="DF41" i="2"/>
  <c r="CZ41" i="2"/>
  <c r="CT41" i="2"/>
  <c r="CN41" i="2"/>
  <c r="CH41" i="2"/>
  <c r="BU41" i="2"/>
  <c r="BM41" i="2"/>
  <c r="BG41" i="2"/>
  <c r="BA41" i="2"/>
  <c r="AU41" i="2"/>
  <c r="AO41" i="2"/>
  <c r="AG41" i="2"/>
  <c r="AA41" i="2"/>
  <c r="U41" i="2"/>
  <c r="O41" i="2"/>
  <c r="GB40" i="2"/>
  <c r="FV40" i="2"/>
  <c r="FP40" i="2"/>
  <c r="FJ40" i="2"/>
  <c r="EZ40" i="2"/>
  <c r="ET40" i="2"/>
  <c r="EN40" i="2"/>
  <c r="EH40" i="2"/>
  <c r="DZ40" i="2"/>
  <c r="DR40" i="2"/>
  <c r="DL40" i="2"/>
  <c r="DF40" i="2"/>
  <c r="CZ40" i="2"/>
  <c r="CT40" i="2"/>
  <c r="CN40" i="2"/>
  <c r="CH40" i="2"/>
  <c r="BU40" i="2"/>
  <c r="BM40" i="2"/>
  <c r="BG40" i="2"/>
  <c r="BA40" i="2"/>
  <c r="AU40" i="2"/>
  <c r="AO40" i="2"/>
  <c r="AG40" i="2"/>
  <c r="AA40" i="2"/>
  <c r="U40" i="2"/>
  <c r="O40" i="2"/>
  <c r="GB39" i="2"/>
  <c r="FV39" i="2"/>
  <c r="FP39" i="2"/>
  <c r="FJ39" i="2"/>
  <c r="EZ39" i="2"/>
  <c r="ET39" i="2"/>
  <c r="EN39" i="2"/>
  <c r="EH39" i="2"/>
  <c r="DZ39" i="2"/>
  <c r="DR39" i="2"/>
  <c r="DL39" i="2"/>
  <c r="DF39" i="2"/>
  <c r="CZ39" i="2"/>
  <c r="CT39" i="2"/>
  <c r="CN39" i="2"/>
  <c r="CH39" i="2"/>
  <c r="BU39" i="2"/>
  <c r="BM39" i="2"/>
  <c r="BG39" i="2"/>
  <c r="BA39" i="2"/>
  <c r="AU39" i="2"/>
  <c r="AO39" i="2"/>
  <c r="AG39" i="2"/>
  <c r="AA39" i="2"/>
  <c r="U39" i="2"/>
  <c r="O39" i="2"/>
  <c r="GK39" i="2" s="1"/>
  <c r="GL39" i="2" s="1"/>
  <c r="GB38" i="2"/>
  <c r="FV38" i="2"/>
  <c r="FP38" i="2"/>
  <c r="FJ38" i="2"/>
  <c r="EZ38" i="2"/>
  <c r="ET38" i="2"/>
  <c r="EN38" i="2"/>
  <c r="EH38" i="2"/>
  <c r="DZ38" i="2"/>
  <c r="DR38" i="2"/>
  <c r="DL38" i="2"/>
  <c r="DF38" i="2"/>
  <c r="CZ38" i="2"/>
  <c r="CT38" i="2"/>
  <c r="CN38" i="2"/>
  <c r="CH38" i="2"/>
  <c r="BU38" i="2"/>
  <c r="BM38" i="2"/>
  <c r="BG38" i="2"/>
  <c r="BA38" i="2"/>
  <c r="AU38" i="2"/>
  <c r="AO38" i="2"/>
  <c r="AG38" i="2"/>
  <c r="AA38" i="2"/>
  <c r="U38" i="2"/>
  <c r="O38" i="2"/>
  <c r="GB37" i="2"/>
  <c r="FV37" i="2"/>
  <c r="FP37" i="2"/>
  <c r="FJ37" i="2"/>
  <c r="EZ37" i="2"/>
  <c r="ET37" i="2"/>
  <c r="EN37" i="2"/>
  <c r="EH37" i="2"/>
  <c r="DZ37" i="2"/>
  <c r="DR37" i="2"/>
  <c r="DL37" i="2"/>
  <c r="DF37" i="2"/>
  <c r="CZ37" i="2"/>
  <c r="CT37" i="2"/>
  <c r="CN37" i="2"/>
  <c r="CH37" i="2"/>
  <c r="BU37" i="2"/>
  <c r="BM37" i="2"/>
  <c r="BG37" i="2"/>
  <c r="BA37" i="2"/>
  <c r="AU37" i="2"/>
  <c r="AO37" i="2"/>
  <c r="AG37" i="2"/>
  <c r="AA37" i="2"/>
  <c r="U37" i="2"/>
  <c r="O37" i="2"/>
  <c r="GB36" i="2"/>
  <c r="FV36" i="2"/>
  <c r="FP36" i="2"/>
  <c r="FJ36" i="2"/>
  <c r="EZ36" i="2"/>
  <c r="ET36" i="2"/>
  <c r="EN36" i="2"/>
  <c r="EH36" i="2"/>
  <c r="DZ36" i="2"/>
  <c r="DR36" i="2"/>
  <c r="DL36" i="2"/>
  <c r="DF36" i="2"/>
  <c r="CZ36" i="2"/>
  <c r="CT36" i="2"/>
  <c r="CN36" i="2"/>
  <c r="CH36" i="2"/>
  <c r="BU36" i="2"/>
  <c r="BM36" i="2"/>
  <c r="BG36" i="2"/>
  <c r="BA36" i="2"/>
  <c r="AU36" i="2"/>
  <c r="AO36" i="2"/>
  <c r="AG36" i="2"/>
  <c r="AA36" i="2"/>
  <c r="U36" i="2"/>
  <c r="O36" i="2"/>
  <c r="GB35" i="2"/>
  <c r="FV35" i="2"/>
  <c r="FV42" i="2" s="1"/>
  <c r="FP35" i="2"/>
  <c r="FJ35" i="2"/>
  <c r="EZ35" i="2"/>
  <c r="ET35" i="2"/>
  <c r="EN35" i="2"/>
  <c r="EH35" i="2"/>
  <c r="DZ35" i="2"/>
  <c r="DR35" i="2"/>
  <c r="DL35" i="2"/>
  <c r="DF35" i="2"/>
  <c r="CZ35" i="2"/>
  <c r="CT35" i="2"/>
  <c r="CN35" i="2"/>
  <c r="CH35" i="2"/>
  <c r="BU35" i="2"/>
  <c r="BM35" i="2"/>
  <c r="BG35" i="2"/>
  <c r="BA35" i="2"/>
  <c r="AU35" i="2"/>
  <c r="AO35" i="2"/>
  <c r="AG35" i="2"/>
  <c r="AA35" i="2"/>
  <c r="U35" i="2"/>
  <c r="O35" i="2"/>
  <c r="GM35" i="2" s="1"/>
  <c r="GB34" i="2"/>
  <c r="FV34" i="2"/>
  <c r="FP34" i="2"/>
  <c r="FJ34" i="2"/>
  <c r="EZ34" i="2"/>
  <c r="ET34" i="2"/>
  <c r="EN34" i="2"/>
  <c r="EH34" i="2"/>
  <c r="DZ34" i="2"/>
  <c r="DR34" i="2"/>
  <c r="DL34" i="2"/>
  <c r="DF34" i="2"/>
  <c r="CZ34" i="2"/>
  <c r="CT34" i="2"/>
  <c r="CN34" i="2"/>
  <c r="CH34" i="2"/>
  <c r="CH42" i="2" s="1"/>
  <c r="BU34" i="2"/>
  <c r="BM34" i="2"/>
  <c r="BG34" i="2"/>
  <c r="BA34" i="2"/>
  <c r="AU34" i="2"/>
  <c r="AO34" i="2"/>
  <c r="AG34" i="2"/>
  <c r="AG42" i="2" s="1"/>
  <c r="AA34" i="2"/>
  <c r="AA42" i="2" s="1"/>
  <c r="U34" i="2"/>
  <c r="O34" i="2"/>
  <c r="O112" i="1" l="1"/>
  <c r="E55" i="3" s="1"/>
  <c r="DL207" i="2"/>
  <c r="EJ249" i="2"/>
  <c r="EJ253" i="2" s="1"/>
  <c r="CT97" i="2"/>
  <c r="DR90" i="2"/>
  <c r="CT90" i="2"/>
  <c r="DT187" i="2"/>
  <c r="DT191" i="2" s="1"/>
  <c r="AE229" i="2"/>
  <c r="AE249" i="2" s="1"/>
  <c r="AE253" i="2" s="1"/>
  <c r="BC229" i="2"/>
  <c r="BC249" i="2" s="1"/>
  <c r="BC253" i="2" s="1"/>
  <c r="BZ249" i="2"/>
  <c r="BZ253" i="2" s="1"/>
  <c r="I399" i="2" s="1"/>
  <c r="FF318" i="2"/>
  <c r="FB316" i="2"/>
  <c r="CV320" i="2"/>
  <c r="GM114" i="2"/>
  <c r="BG207" i="2"/>
  <c r="BS249" i="2"/>
  <c r="BS253" i="2" s="1"/>
  <c r="GM108" i="2"/>
  <c r="GM142" i="2"/>
  <c r="EL187" i="2"/>
  <c r="EL191" i="2" s="1"/>
  <c r="AC229" i="2"/>
  <c r="GM242" i="2"/>
  <c r="GM110" i="2"/>
  <c r="AA130" i="2"/>
  <c r="CH130" i="2"/>
  <c r="EH130" i="2"/>
  <c r="DR130" i="2"/>
  <c r="DF130" i="2"/>
  <c r="AO130" i="2"/>
  <c r="GM134" i="2"/>
  <c r="DD187" i="2"/>
  <c r="DD191" i="2" s="1"/>
  <c r="AG185" i="2"/>
  <c r="CN185" i="2"/>
  <c r="U185" i="2"/>
  <c r="BU185" i="2"/>
  <c r="ER187" i="2"/>
  <c r="ER191" i="2" s="1"/>
  <c r="K229" i="2"/>
  <c r="K249" i="2" s="1"/>
  <c r="K253" i="2" s="1"/>
  <c r="AI229" i="2"/>
  <c r="AI249" i="2" s="1"/>
  <c r="AI253" i="2" s="1"/>
  <c r="AI254" i="2" s="1"/>
  <c r="Q229" i="2"/>
  <c r="Q249" i="2" s="1"/>
  <c r="Q253" i="2" s="1"/>
  <c r="Q254" i="2" s="1"/>
  <c r="AA314" i="2"/>
  <c r="AA316" i="2" s="1"/>
  <c r="AA318" i="2" s="1"/>
  <c r="CH314" i="2"/>
  <c r="EH314" i="2"/>
  <c r="GK307" i="2"/>
  <c r="GK310" i="2"/>
  <c r="GK311" i="2"/>
  <c r="DJ316" i="2"/>
  <c r="DJ318" i="2" s="1"/>
  <c r="DJ320" i="2" s="1"/>
  <c r="BC254" i="2"/>
  <c r="DN249" i="2"/>
  <c r="DN253" i="2" s="1"/>
  <c r="DN254" i="2" s="1"/>
  <c r="GK136" i="2"/>
  <c r="GL136" i="2" s="1"/>
  <c r="EN58" i="2"/>
  <c r="DZ104" i="2"/>
  <c r="DN112" i="2"/>
  <c r="DN116" i="2" s="1"/>
  <c r="AG169" i="2"/>
  <c r="EN169" i="2"/>
  <c r="BO187" i="2"/>
  <c r="BO191" i="2" s="1"/>
  <c r="K187" i="2"/>
  <c r="K191" i="2" s="1"/>
  <c r="AI187" i="2"/>
  <c r="AI191" i="2" s="1"/>
  <c r="U224" i="2"/>
  <c r="CV318" i="2"/>
  <c r="AA302" i="2"/>
  <c r="CH302" i="2"/>
  <c r="EH302" i="2"/>
  <c r="EH316" i="2" s="1"/>
  <c r="GK301" i="2"/>
  <c r="K316" i="2"/>
  <c r="K318" i="2" s="1"/>
  <c r="K320" i="2" s="1"/>
  <c r="AI316" i="2"/>
  <c r="BE316" i="2"/>
  <c r="CX316" i="2"/>
  <c r="DV316" i="2"/>
  <c r="ER316" i="2"/>
  <c r="FN316" i="2"/>
  <c r="AG314" i="2"/>
  <c r="CN314" i="2"/>
  <c r="EN314" i="2"/>
  <c r="AU314" i="2"/>
  <c r="FP207" i="2"/>
  <c r="GK202" i="2"/>
  <c r="GL202" i="2" s="1"/>
  <c r="AW229" i="2"/>
  <c r="AW249" i="2" s="1"/>
  <c r="AW253" i="2" s="1"/>
  <c r="EH97" i="2"/>
  <c r="O58" i="2"/>
  <c r="DR58" i="2"/>
  <c r="GK55" i="2"/>
  <c r="GL55" i="2" s="1"/>
  <c r="GK56" i="2"/>
  <c r="GL56" i="2" s="1"/>
  <c r="GM62" i="2"/>
  <c r="BG75" i="2"/>
  <c r="DL75" i="2"/>
  <c r="FP75" i="2"/>
  <c r="CT169" i="2"/>
  <c r="ET169" i="2"/>
  <c r="AA169" i="2"/>
  <c r="CH169" i="2"/>
  <c r="EH169" i="2"/>
  <c r="DF169" i="2"/>
  <c r="DJ187" i="2"/>
  <c r="DJ191" i="2" s="1"/>
  <c r="AA227" i="2"/>
  <c r="CH227" i="2"/>
  <c r="EH227" i="2"/>
  <c r="O227" i="2"/>
  <c r="FV227" i="2"/>
  <c r="DB229" i="2"/>
  <c r="DB249" i="2" s="1"/>
  <c r="DB253" i="2" s="1"/>
  <c r="FF320" i="2"/>
  <c r="BM289" i="2"/>
  <c r="DR289" i="2"/>
  <c r="FV289" i="2"/>
  <c r="AI318" i="2"/>
  <c r="AI320" i="2" s="1"/>
  <c r="DV318" i="2"/>
  <c r="DV320" i="2" s="1"/>
  <c r="AK316" i="2"/>
  <c r="BI316" i="2"/>
  <c r="CD316" i="2"/>
  <c r="CD318" i="2" s="1"/>
  <c r="CD320" i="2" s="1"/>
  <c r="DB316" i="2"/>
  <c r="AC316" i="2"/>
  <c r="EZ332" i="2"/>
  <c r="CP249" i="2"/>
  <c r="CP253" i="2" s="1"/>
  <c r="CP254" i="2" s="1"/>
  <c r="AY229" i="2"/>
  <c r="CH50" i="2"/>
  <c r="U58" i="2"/>
  <c r="BU58" i="2"/>
  <c r="DZ58" i="2"/>
  <c r="GB58" i="2"/>
  <c r="DL58" i="2"/>
  <c r="DR75" i="2"/>
  <c r="BG104" i="2"/>
  <c r="DL104" i="2"/>
  <c r="FP104" i="2"/>
  <c r="AG104" i="2"/>
  <c r="CN104" i="2"/>
  <c r="AE112" i="2"/>
  <c r="AE116" i="2" s="1"/>
  <c r="EZ163" i="2"/>
  <c r="AQ324" i="2"/>
  <c r="BO324" i="2"/>
  <c r="DZ221" i="2"/>
  <c r="S229" i="2"/>
  <c r="S249" i="2" s="1"/>
  <c r="S253" i="2" s="1"/>
  <c r="DH229" i="2"/>
  <c r="DH249" i="2" s="1"/>
  <c r="DH253" i="2" s="1"/>
  <c r="FB229" i="2"/>
  <c r="FB249" i="2" s="1"/>
  <c r="FB253" i="2" s="1"/>
  <c r="FX229" i="2"/>
  <c r="FX249" i="2" s="1"/>
  <c r="FX253" i="2" s="1"/>
  <c r="AG227" i="2"/>
  <c r="CN227" i="2"/>
  <c r="EN227" i="2"/>
  <c r="DB318" i="2"/>
  <c r="DB320" i="2" s="1"/>
  <c r="Q316" i="2"/>
  <c r="AM316" i="2"/>
  <c r="CF316" i="2"/>
  <c r="CF318" i="2" s="1"/>
  <c r="CF320" i="2" s="1"/>
  <c r="CN42" i="2"/>
  <c r="AO50" i="2"/>
  <c r="ET50" i="2"/>
  <c r="GK46" i="2"/>
  <c r="GL46" i="2" s="1"/>
  <c r="GM175" i="2"/>
  <c r="GM177" i="2"/>
  <c r="AG207" i="2"/>
  <c r="BA221" i="2"/>
  <c r="DF221" i="2"/>
  <c r="FJ221" i="2"/>
  <c r="BM221" i="2"/>
  <c r="FV221" i="2"/>
  <c r="FV229" i="2" s="1"/>
  <c r="AC249" i="2"/>
  <c r="AC253" i="2" s="1"/>
  <c r="GK234" i="2"/>
  <c r="GL234" i="2" s="1"/>
  <c r="GK238" i="2"/>
  <c r="GL238" i="2" s="1"/>
  <c r="GM241" i="2"/>
  <c r="GM335" i="2"/>
  <c r="GM339" i="2"/>
  <c r="GN339" i="2" s="1"/>
  <c r="GM343" i="2"/>
  <c r="GN343" i="2" s="1"/>
  <c r="GM338" i="2"/>
  <c r="GN338" i="2" s="1"/>
  <c r="AU289" i="2"/>
  <c r="DZ42" i="2"/>
  <c r="FJ50" i="2"/>
  <c r="AG58" i="2"/>
  <c r="BC112" i="2"/>
  <c r="BC116" i="2" s="1"/>
  <c r="AG97" i="2"/>
  <c r="CN97" i="2"/>
  <c r="GM94" i="2"/>
  <c r="GM137" i="2"/>
  <c r="CZ145" i="2"/>
  <c r="EZ145" i="2"/>
  <c r="GK150" i="2"/>
  <c r="GL150" i="2" s="1"/>
  <c r="GK153" i="2"/>
  <c r="GL153" i="2" s="1"/>
  <c r="FX187" i="2"/>
  <c r="FX191" i="2" s="1"/>
  <c r="BU169" i="2"/>
  <c r="AW187" i="2"/>
  <c r="AW191" i="2" s="1"/>
  <c r="EZ336" i="2"/>
  <c r="GM336" i="2" s="1"/>
  <c r="GN336" i="2" s="1"/>
  <c r="ET42" i="2"/>
  <c r="BA42" i="2"/>
  <c r="GM40" i="2"/>
  <c r="GM49" i="2"/>
  <c r="GM235" i="2"/>
  <c r="EZ42" i="2"/>
  <c r="FJ42" i="2"/>
  <c r="GM37" i="2"/>
  <c r="GM39" i="2"/>
  <c r="DL50" i="2"/>
  <c r="BA50" i="2"/>
  <c r="DF50" i="2"/>
  <c r="AO58" i="2"/>
  <c r="CT58" i="2"/>
  <c r="GK60" i="2"/>
  <c r="GL60" i="2" s="1"/>
  <c r="GK74" i="2"/>
  <c r="GL74" i="2" s="1"/>
  <c r="ET97" i="2"/>
  <c r="AA97" i="2"/>
  <c r="CH97" i="2"/>
  <c r="EN104" i="2"/>
  <c r="CT130" i="2"/>
  <c r="ET130" i="2"/>
  <c r="GK134" i="2"/>
  <c r="GL134" i="2" s="1"/>
  <c r="GK137" i="2"/>
  <c r="GL137" i="2" s="1"/>
  <c r="BA145" i="2"/>
  <c r="DF145" i="2"/>
  <c r="FJ145" i="2"/>
  <c r="U163" i="2"/>
  <c r="BU163" i="2"/>
  <c r="DZ163" i="2"/>
  <c r="GB163" i="2"/>
  <c r="AA163" i="2"/>
  <c r="EH163" i="2"/>
  <c r="BA169" i="2"/>
  <c r="FJ169" i="2"/>
  <c r="BM169" i="2"/>
  <c r="FV169" i="2"/>
  <c r="DX229" i="2"/>
  <c r="DX249" i="2" s="1"/>
  <c r="DX253" i="2" s="1"/>
  <c r="ER229" i="2"/>
  <c r="ER249" i="2" s="1"/>
  <c r="ER253" i="2" s="1"/>
  <c r="BM227" i="2"/>
  <c r="DR227" i="2"/>
  <c r="GM226" i="2"/>
  <c r="EP318" i="2"/>
  <c r="EP320" i="2" s="1"/>
  <c r="FL318" i="2"/>
  <c r="FL320" i="2" s="1"/>
  <c r="EV344" i="2"/>
  <c r="EV345" i="2" s="1"/>
  <c r="GM331" i="2"/>
  <c r="GN331" i="2" s="1"/>
  <c r="GK35" i="2"/>
  <c r="GL35" i="2" s="1"/>
  <c r="AM112" i="2"/>
  <c r="AM116" i="2" s="1"/>
  <c r="CH58" i="2"/>
  <c r="BK187" i="2"/>
  <c r="BK191" i="2" s="1"/>
  <c r="AU42" i="2"/>
  <c r="GM60" i="2"/>
  <c r="GK66" i="2"/>
  <c r="GL66" i="2" s="1"/>
  <c r="U75" i="2"/>
  <c r="BU75" i="2"/>
  <c r="DZ75" i="2"/>
  <c r="CX112" i="2"/>
  <c r="CX116" i="2" s="1"/>
  <c r="BM90" i="2"/>
  <c r="GM86" i="2"/>
  <c r="AA90" i="2"/>
  <c r="AU130" i="2"/>
  <c r="CZ130" i="2"/>
  <c r="EZ130" i="2"/>
  <c r="BU130" i="2"/>
  <c r="BU187" i="2" s="1"/>
  <c r="BU191" i="2" s="1"/>
  <c r="GB130" i="2"/>
  <c r="CH163" i="2"/>
  <c r="GK154" i="2"/>
  <c r="GL154" i="2" s="1"/>
  <c r="AW324" i="2"/>
  <c r="FR229" i="2"/>
  <c r="FR249" i="2" s="1"/>
  <c r="FR253" i="2" s="1"/>
  <c r="FR254" i="2" s="1"/>
  <c r="U227" i="2"/>
  <c r="BU227" i="2"/>
  <c r="DZ227" i="2"/>
  <c r="DZ229" i="2" s="1"/>
  <c r="GB227" i="2"/>
  <c r="DL227" i="2"/>
  <c r="GK251" i="2"/>
  <c r="GL251" i="2" s="1"/>
  <c r="EV316" i="2"/>
  <c r="FR316" i="2"/>
  <c r="FR318" i="2" s="1"/>
  <c r="FR320" i="2" s="1"/>
  <c r="GK308" i="2"/>
  <c r="CT42" i="2"/>
  <c r="EH58" i="2"/>
  <c r="GM239" i="2"/>
  <c r="GM34" i="2"/>
  <c r="BM42" i="2"/>
  <c r="GM38" i="2"/>
  <c r="DF42" i="2"/>
  <c r="GK41" i="2"/>
  <c r="GL41" i="2" s="1"/>
  <c r="BA58" i="2"/>
  <c r="DF58" i="2"/>
  <c r="FJ58" i="2"/>
  <c r="GK54" i="2"/>
  <c r="GL54" i="2" s="1"/>
  <c r="ER112" i="2"/>
  <c r="ER116" i="2" s="1"/>
  <c r="AG90" i="2"/>
  <c r="DH112" i="2"/>
  <c r="DH116" i="2" s="1"/>
  <c r="EN163" i="2"/>
  <c r="AA207" i="2"/>
  <c r="CT207" i="2"/>
  <c r="AG221" i="2"/>
  <c r="GB221" i="2"/>
  <c r="AO266" i="2"/>
  <c r="GK264" i="2"/>
  <c r="BW320" i="2"/>
  <c r="BI318" i="2"/>
  <c r="BI320" i="2" s="1"/>
  <c r="EV318" i="2"/>
  <c r="EV320" i="2" s="1"/>
  <c r="CT302" i="2"/>
  <c r="ET302" i="2"/>
  <c r="GK294" i="2"/>
  <c r="GK299" i="2"/>
  <c r="DR302" i="2"/>
  <c r="DD316" i="2"/>
  <c r="DD318" i="2" s="1"/>
  <c r="DD320" i="2" s="1"/>
  <c r="EB316" i="2"/>
  <c r="EB318" i="2" s="1"/>
  <c r="EB320" i="2" s="1"/>
  <c r="EX316" i="2"/>
  <c r="EX318" i="2" s="1"/>
  <c r="EX320" i="2" s="1"/>
  <c r="CZ314" i="2"/>
  <c r="EZ314" i="2"/>
  <c r="BG344" i="2"/>
  <c r="DL344" i="2"/>
  <c r="EZ327" i="2"/>
  <c r="GM327" i="2" s="1"/>
  <c r="GN327" i="2" s="1"/>
  <c r="GM329" i="2"/>
  <c r="GN329" i="2" s="1"/>
  <c r="GM41" i="2"/>
  <c r="GK36" i="2"/>
  <c r="GL36" i="2" s="1"/>
  <c r="GM55" i="2"/>
  <c r="U42" i="2"/>
  <c r="GK38" i="2"/>
  <c r="GL38" i="2" s="1"/>
  <c r="AA50" i="2"/>
  <c r="AU58" i="2"/>
  <c r="EZ57" i="2"/>
  <c r="GM57" i="2" s="1"/>
  <c r="EX58" i="2"/>
  <c r="GM68" i="2"/>
  <c r="BA104" i="2"/>
  <c r="DF104" i="2"/>
  <c r="FJ104" i="2"/>
  <c r="CT104" i="2"/>
  <c r="BM104" i="2"/>
  <c r="GK180" i="2"/>
  <c r="GL180" i="2" s="1"/>
  <c r="BA207" i="2"/>
  <c r="DF207" i="2"/>
  <c r="FJ207" i="2"/>
  <c r="GM202" i="2"/>
  <c r="GK218" i="2"/>
  <c r="GL218" i="2" s="1"/>
  <c r="GK265" i="2"/>
  <c r="CH289" i="2"/>
  <c r="CH318" i="2" s="1"/>
  <c r="EH289" i="2"/>
  <c r="GK279" i="2"/>
  <c r="AU302" i="2"/>
  <c r="AU316" i="2" s="1"/>
  <c r="EZ302" i="2"/>
  <c r="CZ302" i="2"/>
  <c r="CZ316" i="2" s="1"/>
  <c r="S316" i="2"/>
  <c r="S318" i="2" s="1"/>
  <c r="S320" i="2" s="1"/>
  <c r="AQ316" i="2"/>
  <c r="AQ318" i="2" s="1"/>
  <c r="AQ320" i="2" s="1"/>
  <c r="BO316" i="2"/>
  <c r="BO318" i="2" s="1"/>
  <c r="BO320" i="2" s="1"/>
  <c r="CJ316" i="2"/>
  <c r="DH316" i="2"/>
  <c r="DH318" i="2" s="1"/>
  <c r="DH320" i="2" s="1"/>
  <c r="ED316" i="2"/>
  <c r="ED318" i="2" s="1"/>
  <c r="ED320" i="2" s="1"/>
  <c r="BM344" i="2"/>
  <c r="DR344" i="2"/>
  <c r="FJ344" i="2"/>
  <c r="FJ345" i="2" s="1"/>
  <c r="DZ90" i="2"/>
  <c r="CZ97" i="2"/>
  <c r="BU104" i="2"/>
  <c r="GB104" i="2"/>
  <c r="AU104" i="2"/>
  <c r="BA130" i="2"/>
  <c r="FJ130" i="2"/>
  <c r="GK129" i="2"/>
  <c r="GL129" i="2" s="1"/>
  <c r="DR145" i="2"/>
  <c r="ET145" i="2"/>
  <c r="AG163" i="2"/>
  <c r="CN163" i="2"/>
  <c r="AU163" i="2"/>
  <c r="AY187" i="2"/>
  <c r="AY191" i="2" s="1"/>
  <c r="BW324" i="2"/>
  <c r="BG169" i="2"/>
  <c r="DL169" i="2"/>
  <c r="FP169" i="2"/>
  <c r="CN169" i="2"/>
  <c r="BW187" i="2"/>
  <c r="BW191" i="2" s="1"/>
  <c r="FD187" i="2"/>
  <c r="FD191" i="2" s="1"/>
  <c r="FZ187" i="2"/>
  <c r="FZ191" i="2" s="1"/>
  <c r="GK177" i="2"/>
  <c r="GL177" i="2" s="1"/>
  <c r="CF187" i="2"/>
  <c r="CF191" i="2" s="1"/>
  <c r="M187" i="2"/>
  <c r="M191" i="2" s="1"/>
  <c r="BI187" i="2"/>
  <c r="BI191" i="2" s="1"/>
  <c r="U207" i="2"/>
  <c r="BU207" i="2"/>
  <c r="GM203" i="2"/>
  <c r="EB254" i="2"/>
  <c r="BG221" i="2"/>
  <c r="DL221" i="2"/>
  <c r="DL229" i="2" s="1"/>
  <c r="DL249" i="2" s="1"/>
  <c r="DL253" i="2" s="1"/>
  <c r="I406" i="2" s="1"/>
  <c r="FP221" i="2"/>
  <c r="CN221" i="2"/>
  <c r="AY249" i="2"/>
  <c r="AY253" i="2" s="1"/>
  <c r="BW249" i="2"/>
  <c r="BW253" i="2" s="1"/>
  <c r="CR249" i="2"/>
  <c r="CR253" i="2" s="1"/>
  <c r="FD249" i="2"/>
  <c r="FD253" i="2" s="1"/>
  <c r="I419" i="2" s="1"/>
  <c r="CT227" i="2"/>
  <c r="CT229" i="2" s="1"/>
  <c r="AG266" i="2"/>
  <c r="CN266" i="2"/>
  <c r="EN266" i="2"/>
  <c r="GK277" i="2"/>
  <c r="GK282" i="2"/>
  <c r="GK286" i="2"/>
  <c r="AS318" i="2"/>
  <c r="AS320" i="2" s="1"/>
  <c r="CJ318" i="2"/>
  <c r="FB318" i="2"/>
  <c r="BA302" i="2"/>
  <c r="DF302" i="2"/>
  <c r="FJ302" i="2"/>
  <c r="W316" i="2"/>
  <c r="W318" i="2" s="1"/>
  <c r="W320" i="2" s="1"/>
  <c r="BQ316" i="2"/>
  <c r="BQ318" i="2" s="1"/>
  <c r="BQ320" i="2" s="1"/>
  <c r="CL316" i="2"/>
  <c r="CL318" i="2" s="1"/>
  <c r="CL320" i="2" s="1"/>
  <c r="EF316" i="2"/>
  <c r="EF318" i="2" s="1"/>
  <c r="EF320" i="2" s="1"/>
  <c r="FX316" i="2"/>
  <c r="FX318" i="2" s="1"/>
  <c r="FX320" i="2" s="1"/>
  <c r="BA314" i="2"/>
  <c r="DF314" i="2"/>
  <c r="FJ314" i="2"/>
  <c r="GK309" i="2"/>
  <c r="GK312" i="2"/>
  <c r="EL316" i="2"/>
  <c r="EL318" i="2" s="1"/>
  <c r="EL320" i="2" s="1"/>
  <c r="U344" i="2"/>
  <c r="BU344" i="2"/>
  <c r="DZ344" i="2"/>
  <c r="GM53" i="2"/>
  <c r="GK68" i="2"/>
  <c r="GL68" i="2" s="1"/>
  <c r="BA75" i="2"/>
  <c r="DF75" i="2"/>
  <c r="W112" i="2"/>
  <c r="W116" i="2" s="1"/>
  <c r="CJ112" i="2"/>
  <c r="CJ116" i="2" s="1"/>
  <c r="AO90" i="2"/>
  <c r="ET90" i="2"/>
  <c r="FV90" i="2"/>
  <c r="BA97" i="2"/>
  <c r="DF97" i="2"/>
  <c r="DF112" i="2" s="1"/>
  <c r="DF116" i="2" s="1"/>
  <c r="FJ97" i="2"/>
  <c r="BM97" i="2"/>
  <c r="FV97" i="2"/>
  <c r="EH104" i="2"/>
  <c r="BG130" i="2"/>
  <c r="DL130" i="2"/>
  <c r="FP130" i="2"/>
  <c r="O145" i="2"/>
  <c r="BM145" i="2"/>
  <c r="FV145" i="2"/>
  <c r="CT163" i="2"/>
  <c r="ET163" i="2"/>
  <c r="BG163" i="2"/>
  <c r="FP163" i="2"/>
  <c r="GM155" i="2"/>
  <c r="BC324" i="2"/>
  <c r="DT324" i="2"/>
  <c r="FF187" i="2"/>
  <c r="FF191" i="2" s="1"/>
  <c r="CH181" i="2"/>
  <c r="CH185" i="2" s="1"/>
  <c r="Q187" i="2"/>
  <c r="Q191" i="2" s="1"/>
  <c r="ED187" i="2"/>
  <c r="ED191" i="2" s="1"/>
  <c r="GM200" i="2"/>
  <c r="GK204" i="2"/>
  <c r="GL204" i="2" s="1"/>
  <c r="DH254" i="2"/>
  <c r="DR221" i="2"/>
  <c r="FF249" i="2"/>
  <c r="FF253" i="2" s="1"/>
  <c r="AU227" i="2"/>
  <c r="EZ227" i="2"/>
  <c r="ED229" i="2"/>
  <c r="ED249" i="2" s="1"/>
  <c r="ED253" i="2" s="1"/>
  <c r="I411" i="2" s="1"/>
  <c r="BA247" i="2"/>
  <c r="DF247" i="2"/>
  <c r="FJ247" i="2"/>
  <c r="GK243" i="2"/>
  <c r="GL243" i="2" s="1"/>
  <c r="EN289" i="2"/>
  <c r="BU302" i="2"/>
  <c r="Y316" i="2"/>
  <c r="Y318" i="2" s="1"/>
  <c r="Y320" i="2" s="1"/>
  <c r="AW316" i="2"/>
  <c r="BS316" i="2"/>
  <c r="CP316" i="2"/>
  <c r="CP318" i="2" s="1"/>
  <c r="CP320" i="2" s="1"/>
  <c r="DN316" i="2"/>
  <c r="FD316" i="2"/>
  <c r="FZ316" i="2"/>
  <c r="BG314" i="2"/>
  <c r="DL314" i="2"/>
  <c r="FP314" i="2"/>
  <c r="M316" i="2"/>
  <c r="M318" i="2" s="1"/>
  <c r="M320" i="2" s="1"/>
  <c r="DF344" i="2"/>
  <c r="GM54" i="2"/>
  <c r="FV58" i="2"/>
  <c r="BG97" i="2"/>
  <c r="DL97" i="2"/>
  <c r="FP97" i="2"/>
  <c r="GM101" i="2"/>
  <c r="K324" i="2"/>
  <c r="AI324" i="2"/>
  <c r="EP324" i="2"/>
  <c r="FL324" i="2"/>
  <c r="U169" i="2"/>
  <c r="GB169" i="2"/>
  <c r="CV187" i="2"/>
  <c r="CV191" i="2" s="1"/>
  <c r="BM185" i="2"/>
  <c r="BM345" i="2" s="1"/>
  <c r="DR185" i="2"/>
  <c r="FV185" i="2"/>
  <c r="S187" i="2"/>
  <c r="S191" i="2" s="1"/>
  <c r="AQ187" i="2"/>
  <c r="AQ191" i="2" s="1"/>
  <c r="GM205" i="2"/>
  <c r="W254" i="2"/>
  <c r="FD254" i="2"/>
  <c r="U221" i="2"/>
  <c r="U229" i="2" s="1"/>
  <c r="BU221" i="2"/>
  <c r="BU229" i="2" s="1"/>
  <c r="EN221" i="2"/>
  <c r="EN229" i="2" s="1"/>
  <c r="CB229" i="2"/>
  <c r="CB249" i="2" s="1"/>
  <c r="CB253" i="2" s="1"/>
  <c r="I400" i="2" s="1"/>
  <c r="CV229" i="2"/>
  <c r="CV249" i="2" s="1"/>
  <c r="CV253" i="2" s="1"/>
  <c r="DT229" i="2"/>
  <c r="DT249" i="2" s="1"/>
  <c r="DT253" i="2" s="1"/>
  <c r="EL229" i="2"/>
  <c r="EL249" i="2" s="1"/>
  <c r="EL253" i="2" s="1"/>
  <c r="FH229" i="2"/>
  <c r="FH249" i="2" s="1"/>
  <c r="FH253" i="2" s="1"/>
  <c r="BA227" i="2"/>
  <c r="DF227" i="2"/>
  <c r="FJ227" i="2"/>
  <c r="GK244" i="2"/>
  <c r="GL244" i="2" s="1"/>
  <c r="AU266" i="2"/>
  <c r="GK283" i="2"/>
  <c r="GK287" i="2"/>
  <c r="AC318" i="2"/>
  <c r="AC320" i="2" s="1"/>
  <c r="AW318" i="2"/>
  <c r="AW320" i="2" s="1"/>
  <c r="BS318" i="2"/>
  <c r="BS320" i="2" s="1"/>
  <c r="DN318" i="2"/>
  <c r="DN320" i="2" s="1"/>
  <c r="AO302" i="2"/>
  <c r="GK296" i="2"/>
  <c r="EJ316" i="2"/>
  <c r="EJ318" i="2" s="1"/>
  <c r="EJ320" i="2" s="1"/>
  <c r="GK306" i="2"/>
  <c r="BM314" i="2"/>
  <c r="DR314" i="2"/>
  <c r="FV314" i="2"/>
  <c r="O314" i="2"/>
  <c r="AG344" i="2"/>
  <c r="EN344" i="2"/>
  <c r="GB344" i="2"/>
  <c r="CN344" i="2"/>
  <c r="GM332" i="2"/>
  <c r="GN332" i="2" s="1"/>
  <c r="ET58" i="2"/>
  <c r="BM58" i="2"/>
  <c r="GK62" i="2"/>
  <c r="GL62" i="2" s="1"/>
  <c r="CZ75" i="2"/>
  <c r="GM72" i="2"/>
  <c r="BS112" i="2"/>
  <c r="BS116" i="2" s="1"/>
  <c r="GK85" i="2"/>
  <c r="GL85" i="2" s="1"/>
  <c r="BG90" i="2"/>
  <c r="BG42" i="2"/>
  <c r="DL42" i="2"/>
  <c r="FP42" i="2"/>
  <c r="GM36" i="2"/>
  <c r="EN42" i="2"/>
  <c r="GM45" i="2"/>
  <c r="BM50" i="2"/>
  <c r="CZ50" i="2"/>
  <c r="BA90" i="2"/>
  <c r="DF90" i="2"/>
  <c r="FJ90" i="2"/>
  <c r="ET104" i="2"/>
  <c r="AA104" i="2"/>
  <c r="CH104" i="2"/>
  <c r="U130" i="2"/>
  <c r="DZ130" i="2"/>
  <c r="AG145" i="2"/>
  <c r="CN145" i="2"/>
  <c r="EN145" i="2"/>
  <c r="U145" i="2"/>
  <c r="BU145" i="2"/>
  <c r="DZ145" i="2"/>
  <c r="GK144" i="2"/>
  <c r="GL144" i="2" s="1"/>
  <c r="CH145" i="2"/>
  <c r="GK147" i="2"/>
  <c r="GL147" i="2" s="1"/>
  <c r="GK155" i="2"/>
  <c r="GL155" i="2" s="1"/>
  <c r="DB324" i="2"/>
  <c r="O169" i="2"/>
  <c r="DR169" i="2"/>
  <c r="CD187" i="2"/>
  <c r="CD191" i="2" s="1"/>
  <c r="CX187" i="2"/>
  <c r="CX191" i="2" s="1"/>
  <c r="EP187" i="2"/>
  <c r="EP191" i="2" s="1"/>
  <c r="GK183" i="2"/>
  <c r="GL183" i="2" s="1"/>
  <c r="AS187" i="2"/>
  <c r="AS191" i="2" s="1"/>
  <c r="BQ187" i="2"/>
  <c r="BQ191" i="2" s="1"/>
  <c r="DZ207" i="2"/>
  <c r="FF254" i="2"/>
  <c r="AA221" i="2"/>
  <c r="CH221" i="2"/>
  <c r="EH221" i="2"/>
  <c r="GM218" i="2"/>
  <c r="BI229" i="2"/>
  <c r="BI249" i="2" s="1"/>
  <c r="BI253" i="2" s="1"/>
  <c r="BI254" i="2" s="1"/>
  <c r="CD229" i="2"/>
  <c r="CD249" i="2" s="1"/>
  <c r="CD253" i="2" s="1"/>
  <c r="I401" i="2" s="1"/>
  <c r="CX229" i="2"/>
  <c r="CX249" i="2" s="1"/>
  <c r="CX253" i="2" s="1"/>
  <c r="DV229" i="2"/>
  <c r="DV249" i="2" s="1"/>
  <c r="DV253" i="2" s="1"/>
  <c r="I409" i="2" s="1"/>
  <c r="EP229" i="2"/>
  <c r="EP249" i="2" s="1"/>
  <c r="EP253" i="2" s="1"/>
  <c r="EP254" i="2" s="1"/>
  <c r="BG227" i="2"/>
  <c r="FP227" i="2"/>
  <c r="GM237" i="2"/>
  <c r="DF266" i="2"/>
  <c r="BG289" i="2"/>
  <c r="DL289" i="2"/>
  <c r="FP289" i="2"/>
  <c r="GK278" i="2"/>
  <c r="AE318" i="2"/>
  <c r="AE320" i="2" s="1"/>
  <c r="DT318" i="2"/>
  <c r="DX316" i="2"/>
  <c r="DX318" i="2" s="1"/>
  <c r="DX320" i="2" s="1"/>
  <c r="AO344" i="2"/>
  <c r="AO345" i="2" s="1"/>
  <c r="CT344" i="2"/>
  <c r="CT345" i="2" s="1"/>
  <c r="ET344" i="2"/>
  <c r="GM328" i="2"/>
  <c r="GN328" i="2" s="1"/>
  <c r="EZ333" i="2"/>
  <c r="GM333" i="2" s="1"/>
  <c r="GN333" i="2" s="1"/>
  <c r="EZ337" i="2"/>
  <c r="FV50" i="2"/>
  <c r="FV112" i="2" s="1"/>
  <c r="FV116" i="2" s="1"/>
  <c r="GM95" i="2"/>
  <c r="GM47" i="2"/>
  <c r="U50" i="2"/>
  <c r="AO42" i="2"/>
  <c r="GM74" i="2"/>
  <c r="DR42" i="2"/>
  <c r="GK40" i="2"/>
  <c r="GL40" i="2" s="1"/>
  <c r="AG50" i="2"/>
  <c r="CN50" i="2"/>
  <c r="EN50" i="2"/>
  <c r="GM46" i="2"/>
  <c r="GM48" i="2"/>
  <c r="GK48" i="2"/>
  <c r="GL48" i="2" s="1"/>
  <c r="CN58" i="2"/>
  <c r="O75" i="2"/>
  <c r="GM71" i="2"/>
  <c r="BM75" i="2"/>
  <c r="FV75" i="2"/>
  <c r="ET75" i="2"/>
  <c r="GM73" i="2"/>
  <c r="GK73" i="2"/>
  <c r="GL73" i="2" s="1"/>
  <c r="AY112" i="2"/>
  <c r="AY116" i="2" s="1"/>
  <c r="DL90" i="2"/>
  <c r="CH90" i="2"/>
  <c r="CH112" i="2" s="1"/>
  <c r="CH116" i="2" s="1"/>
  <c r="DR97" i="2"/>
  <c r="GK100" i="2"/>
  <c r="GL100" i="2" s="1"/>
  <c r="K112" i="2"/>
  <c r="K116" i="2" s="1"/>
  <c r="BW112" i="2"/>
  <c r="BW116" i="2" s="1"/>
  <c r="BW208" i="2" s="1"/>
  <c r="CP112" i="2"/>
  <c r="CP116" i="2" s="1"/>
  <c r="DJ112" i="2"/>
  <c r="DJ116" i="2" s="1"/>
  <c r="ED112" i="2"/>
  <c r="ED116" i="2" s="1"/>
  <c r="ET112" i="2"/>
  <c r="ET116" i="2" s="1"/>
  <c r="AA58" i="2"/>
  <c r="GK52" i="2"/>
  <c r="GL52" i="2" s="1"/>
  <c r="DB112" i="2"/>
  <c r="DB116" i="2" s="1"/>
  <c r="GM52" i="2"/>
  <c r="GK64" i="2"/>
  <c r="GL64" i="2" s="1"/>
  <c r="AI112" i="2"/>
  <c r="AI116" i="2" s="1"/>
  <c r="AI208" i="2" s="1"/>
  <c r="O90" i="2"/>
  <c r="GM83" i="2"/>
  <c r="GK83" i="2"/>
  <c r="GL83" i="2" s="1"/>
  <c r="GM85" i="2"/>
  <c r="GK93" i="2"/>
  <c r="GL93" i="2" s="1"/>
  <c r="M112" i="2"/>
  <c r="M116" i="2" s="1"/>
  <c r="BE112" i="2"/>
  <c r="BE116" i="2" s="1"/>
  <c r="BZ112" i="2"/>
  <c r="BZ116" i="2" s="1"/>
  <c r="CR112" i="2"/>
  <c r="CR116" i="2" s="1"/>
  <c r="CP345" i="2"/>
  <c r="CP187" i="2"/>
  <c r="CP191" i="2" s="1"/>
  <c r="GB42" i="2"/>
  <c r="GK37" i="2"/>
  <c r="GL37" i="2" s="1"/>
  <c r="CT50" i="2"/>
  <c r="GK34" i="2"/>
  <c r="GL34" i="2" s="1"/>
  <c r="O42" i="2"/>
  <c r="AU50" i="2"/>
  <c r="EZ50" i="2"/>
  <c r="CZ58" i="2"/>
  <c r="GK53" i="2"/>
  <c r="GL53" i="2" s="1"/>
  <c r="AA75" i="2"/>
  <c r="GK71" i="2"/>
  <c r="GL71" i="2" s="1"/>
  <c r="FJ75" i="2"/>
  <c r="FJ112" i="2" s="1"/>
  <c r="FJ116" i="2" s="1"/>
  <c r="FN112" i="2"/>
  <c r="FN116" i="2" s="1"/>
  <c r="BU90" i="2"/>
  <c r="GB90" i="2"/>
  <c r="GM88" i="2"/>
  <c r="GM89" i="2"/>
  <c r="GK89" i="2"/>
  <c r="GL89" i="2" s="1"/>
  <c r="Q112" i="2"/>
  <c r="Q116" i="2" s="1"/>
  <c r="Q208" i="2" s="1"/>
  <c r="AK112" i="2"/>
  <c r="AK116" i="2" s="1"/>
  <c r="BI112" i="2"/>
  <c r="BI116" i="2" s="1"/>
  <c r="CB112" i="2"/>
  <c r="CB116" i="2" s="1"/>
  <c r="DP112" i="2"/>
  <c r="DP116" i="2" s="1"/>
  <c r="GK108" i="2"/>
  <c r="GL108" i="2" s="1"/>
  <c r="DF185" i="2"/>
  <c r="EH42" i="2"/>
  <c r="GK57" i="2"/>
  <c r="GL57" i="2" s="1"/>
  <c r="AG75" i="2"/>
  <c r="CN75" i="2"/>
  <c r="EN75" i="2"/>
  <c r="S112" i="2"/>
  <c r="S116" i="2" s="1"/>
  <c r="EB112" i="2"/>
  <c r="EB116" i="2" s="1"/>
  <c r="EH90" i="2"/>
  <c r="FP90" i="2"/>
  <c r="GK86" i="2"/>
  <c r="GL86" i="2" s="1"/>
  <c r="GM100" i="2"/>
  <c r="GK101" i="2"/>
  <c r="GL101" i="2" s="1"/>
  <c r="BK112" i="2"/>
  <c r="BK116" i="2" s="1"/>
  <c r="CD112" i="2"/>
  <c r="CD116" i="2" s="1"/>
  <c r="FF112" i="2"/>
  <c r="FF116" i="2" s="1"/>
  <c r="FZ112" i="2"/>
  <c r="FZ116" i="2" s="1"/>
  <c r="BU42" i="2"/>
  <c r="BG50" i="2"/>
  <c r="FP50" i="2"/>
  <c r="GK47" i="2"/>
  <c r="GL47" i="2" s="1"/>
  <c r="BG58" i="2"/>
  <c r="FP58" i="2"/>
  <c r="GM64" i="2"/>
  <c r="CT75" i="2"/>
  <c r="GK72" i="2"/>
  <c r="GL72" i="2" s="1"/>
  <c r="CV112" i="2"/>
  <c r="CV116" i="2" s="1"/>
  <c r="EX112" i="2"/>
  <c r="EX116" i="2" s="1"/>
  <c r="CN90" i="2"/>
  <c r="EN90" i="2"/>
  <c r="GM84" i="2"/>
  <c r="GK84" i="2"/>
  <c r="GL84" i="2" s="1"/>
  <c r="GM93" i="2"/>
  <c r="GK94" i="2"/>
  <c r="GL94" i="2" s="1"/>
  <c r="CZ104" i="2"/>
  <c r="EZ104" i="2"/>
  <c r="AQ112" i="2"/>
  <c r="AQ116" i="2" s="1"/>
  <c r="AQ208" i="2" s="1"/>
  <c r="DV112" i="2"/>
  <c r="DV116" i="2" s="1"/>
  <c r="FH112" i="2"/>
  <c r="FH116" i="2" s="1"/>
  <c r="GK87" i="2"/>
  <c r="GL87" i="2" s="1"/>
  <c r="CZ42" i="2"/>
  <c r="AU75" i="2"/>
  <c r="EZ75" i="2"/>
  <c r="FX112" i="2"/>
  <c r="FX116" i="2" s="1"/>
  <c r="FX208" i="2" s="1"/>
  <c r="U90" i="2"/>
  <c r="Y112" i="2"/>
  <c r="Y116" i="2" s="1"/>
  <c r="AS112" i="2"/>
  <c r="AS116" i="2" s="1"/>
  <c r="EP112" i="2"/>
  <c r="EP116" i="2" s="1"/>
  <c r="GM106" i="2"/>
  <c r="GK106" i="2"/>
  <c r="GL106" i="2" s="1"/>
  <c r="O97" i="2"/>
  <c r="GM96" i="2"/>
  <c r="GK96" i="2"/>
  <c r="GL96" i="2" s="1"/>
  <c r="DZ50" i="2"/>
  <c r="GM56" i="2"/>
  <c r="GM66" i="2"/>
  <c r="BO112" i="2"/>
  <c r="BO116" i="2" s="1"/>
  <c r="CF112" i="2"/>
  <c r="CF116" i="2" s="1"/>
  <c r="AU90" i="2"/>
  <c r="CZ90" i="2"/>
  <c r="CZ112" i="2" s="1"/>
  <c r="CZ116" i="2" s="1"/>
  <c r="EZ90" i="2"/>
  <c r="GM87" i="2"/>
  <c r="GM102" i="2"/>
  <c r="O104" i="2"/>
  <c r="GM103" i="2"/>
  <c r="GK103" i="2"/>
  <c r="GL103" i="2" s="1"/>
  <c r="AC112" i="2"/>
  <c r="AC116" i="2" s="1"/>
  <c r="AW112" i="2"/>
  <c r="AW116" i="2" s="1"/>
  <c r="AW208" i="2" s="1"/>
  <c r="BQ112" i="2"/>
  <c r="BQ116" i="2" s="1"/>
  <c r="CL112" i="2"/>
  <c r="CL116" i="2" s="1"/>
  <c r="DD112" i="2"/>
  <c r="DD116" i="2" s="1"/>
  <c r="BA185" i="2"/>
  <c r="FJ185" i="2"/>
  <c r="GM126" i="2"/>
  <c r="BM130" i="2"/>
  <c r="FV130" i="2"/>
  <c r="GK135" i="2"/>
  <c r="GL135" i="2" s="1"/>
  <c r="BG145" i="2"/>
  <c r="FP145" i="2"/>
  <c r="GK143" i="2"/>
  <c r="GL143" i="2" s="1"/>
  <c r="GM147" i="2"/>
  <c r="GK158" i="2"/>
  <c r="GL158" i="2" s="1"/>
  <c r="GK161" i="2"/>
  <c r="GL161" i="2" s="1"/>
  <c r="CB187" i="2"/>
  <c r="CB191" i="2" s="1"/>
  <c r="BG185" i="2"/>
  <c r="DL185" i="2"/>
  <c r="GK173" i="2"/>
  <c r="GL173" i="2" s="1"/>
  <c r="EH185" i="2"/>
  <c r="GM174" i="2"/>
  <c r="DN187" i="2"/>
  <c r="DN191" i="2" s="1"/>
  <c r="DN208" i="2" s="1"/>
  <c r="GK201" i="2"/>
  <c r="GL201" i="2" s="1"/>
  <c r="GM201" i="2"/>
  <c r="U97" i="2"/>
  <c r="U104" i="2"/>
  <c r="GM165" i="2"/>
  <c r="GK166" i="2"/>
  <c r="GL166" i="2" s="1"/>
  <c r="GM171" i="2"/>
  <c r="GK171" i="2"/>
  <c r="GL171" i="2" s="1"/>
  <c r="O185" i="2"/>
  <c r="GM173" i="2"/>
  <c r="GM176" i="2"/>
  <c r="AC187" i="2"/>
  <c r="AC191" i="2" s="1"/>
  <c r="O50" i="2"/>
  <c r="EF112" i="2"/>
  <c r="EF116" i="2" s="1"/>
  <c r="EV112" i="2"/>
  <c r="EV116" i="2" s="1"/>
  <c r="EV208" i="2" s="1"/>
  <c r="FL112" i="2"/>
  <c r="FL116" i="2" s="1"/>
  <c r="GM127" i="2"/>
  <c r="GK127" i="2"/>
  <c r="GL127" i="2" s="1"/>
  <c r="GM129" i="2"/>
  <c r="GM136" i="2"/>
  <c r="GB145" i="2"/>
  <c r="DL145" i="2"/>
  <c r="CZ163" i="2"/>
  <c r="GK151" i="2"/>
  <c r="GL151" i="2" s="1"/>
  <c r="GM152" i="2"/>
  <c r="GK162" i="2"/>
  <c r="GL162" i="2" s="1"/>
  <c r="AU169" i="2"/>
  <c r="CZ169" i="2"/>
  <c r="EZ169" i="2"/>
  <c r="DX187" i="2"/>
  <c r="DX191" i="2" s="1"/>
  <c r="DZ185" i="2"/>
  <c r="DZ187" i="2" s="1"/>
  <c r="DZ191" i="2" s="1"/>
  <c r="GB185" i="2"/>
  <c r="FP185" i="2"/>
  <c r="AO185" i="2"/>
  <c r="BZ187" i="2"/>
  <c r="BZ191" i="2" s="1"/>
  <c r="AU207" i="2"/>
  <c r="AO97" i="2"/>
  <c r="AO104" i="2"/>
  <c r="GK114" i="2"/>
  <c r="GL114" i="2" s="1"/>
  <c r="AG130" i="2"/>
  <c r="AG187" i="2" s="1"/>
  <c r="AG191" i="2" s="1"/>
  <c r="CN130" i="2"/>
  <c r="EN130" i="2"/>
  <c r="GK132" i="2"/>
  <c r="GL132" i="2" s="1"/>
  <c r="GM133" i="2"/>
  <c r="GK140" i="2"/>
  <c r="GL140" i="2" s="1"/>
  <c r="EH145" i="2"/>
  <c r="GM141" i="2"/>
  <c r="BA163" i="2"/>
  <c r="DF163" i="2"/>
  <c r="FJ163" i="2"/>
  <c r="GM151" i="2"/>
  <c r="GM154" i="2"/>
  <c r="GM167" i="2"/>
  <c r="AA185" i="2"/>
  <c r="GK172" i="2"/>
  <c r="GL172" i="2" s="1"/>
  <c r="GK175" i="2"/>
  <c r="GL175" i="2" s="1"/>
  <c r="GM178" i="2"/>
  <c r="GK184" i="2"/>
  <c r="GL184" i="2" s="1"/>
  <c r="DV187" i="2"/>
  <c r="DV191" i="2" s="1"/>
  <c r="GK88" i="2"/>
  <c r="GL88" i="2" s="1"/>
  <c r="GK95" i="2"/>
  <c r="GL95" i="2" s="1"/>
  <c r="GK102" i="2"/>
  <c r="GL102" i="2" s="1"/>
  <c r="DT112" i="2"/>
  <c r="DT116" i="2" s="1"/>
  <c r="EJ112" i="2"/>
  <c r="EJ116" i="2" s="1"/>
  <c r="EJ208" i="2" s="1"/>
  <c r="GK128" i="2"/>
  <c r="GL128" i="2" s="1"/>
  <c r="GM132" i="2"/>
  <c r="GM135" i="2"/>
  <c r="GM143" i="2"/>
  <c r="GK167" i="2"/>
  <c r="GL167" i="2" s="1"/>
  <c r="GM168" i="2"/>
  <c r="GK168" i="2"/>
  <c r="GL168" i="2" s="1"/>
  <c r="DH187" i="2"/>
  <c r="DH191" i="2" s="1"/>
  <c r="DH208" i="2" s="1"/>
  <c r="FT187" i="2"/>
  <c r="FT191" i="2" s="1"/>
  <c r="GK178" i="2"/>
  <c r="GL178" i="2" s="1"/>
  <c r="GM179" i="2"/>
  <c r="GK179" i="2"/>
  <c r="GL179" i="2" s="1"/>
  <c r="GM182" i="2"/>
  <c r="GK182" i="2"/>
  <c r="GL182" i="2" s="1"/>
  <c r="GM184" i="2"/>
  <c r="AK187" i="2"/>
  <c r="AK191" i="2" s="1"/>
  <c r="GM199" i="2"/>
  <c r="GK199" i="2"/>
  <c r="GL199" i="2" s="1"/>
  <c r="EL112" i="2"/>
  <c r="EL116" i="2" s="1"/>
  <c r="FB112" i="2"/>
  <c r="FB116" i="2" s="1"/>
  <c r="FR112" i="2"/>
  <c r="FR116" i="2" s="1"/>
  <c r="GK110" i="2"/>
  <c r="GL110" i="2" s="1"/>
  <c r="AO145" i="2"/>
  <c r="CT145" i="2"/>
  <c r="BM163" i="2"/>
  <c r="DR163" i="2"/>
  <c r="FV163" i="2"/>
  <c r="GM156" i="2"/>
  <c r="GK159" i="2"/>
  <c r="GL159" i="2" s="1"/>
  <c r="GM160" i="2"/>
  <c r="GK165" i="2"/>
  <c r="GL165" i="2" s="1"/>
  <c r="AE187" i="2"/>
  <c r="AE191" i="2" s="1"/>
  <c r="CT185" i="2"/>
  <c r="ET185" i="2"/>
  <c r="GK176" i="2"/>
  <c r="GL176" i="2" s="1"/>
  <c r="BM207" i="2"/>
  <c r="DX112" i="2"/>
  <c r="DX116" i="2" s="1"/>
  <c r="FD112" i="2"/>
  <c r="FD116" i="2" s="1"/>
  <c r="FT112" i="2"/>
  <c r="FT116" i="2" s="1"/>
  <c r="GK142" i="2"/>
  <c r="GL142" i="2" s="1"/>
  <c r="GK156" i="2"/>
  <c r="GL156" i="2" s="1"/>
  <c r="GM157" i="2"/>
  <c r="GK157" i="2"/>
  <c r="GL157" i="2" s="1"/>
  <c r="GM159" i="2"/>
  <c r="GM162" i="2"/>
  <c r="O163" i="2"/>
  <c r="CR187" i="2"/>
  <c r="CR191" i="2" s="1"/>
  <c r="AU185" i="2"/>
  <c r="AU187" i="2" s="1"/>
  <c r="AU191" i="2" s="1"/>
  <c r="CZ185" i="2"/>
  <c r="EZ185" i="2"/>
  <c r="GM128" i="2"/>
  <c r="O130" i="2"/>
  <c r="GK133" i="2"/>
  <c r="GL133" i="2" s="1"/>
  <c r="GK141" i="2"/>
  <c r="GL141" i="2" s="1"/>
  <c r="GM150" i="2"/>
  <c r="GK152" i="2"/>
  <c r="GL152" i="2" s="1"/>
  <c r="GM158" i="2"/>
  <c r="GK160" i="2"/>
  <c r="GL160" i="2" s="1"/>
  <c r="GM172" i="2"/>
  <c r="GK174" i="2"/>
  <c r="GL174" i="2" s="1"/>
  <c r="GM180" i="2"/>
  <c r="GM183" i="2"/>
  <c r="FF345" i="2"/>
  <c r="GM189" i="2"/>
  <c r="CH207" i="2"/>
  <c r="EH207" i="2"/>
  <c r="GB229" i="2"/>
  <c r="GK226" i="2"/>
  <c r="GL226" i="2" s="1"/>
  <c r="GM144" i="2"/>
  <c r="GM166" i="2"/>
  <c r="AW345" i="2"/>
  <c r="CN207" i="2"/>
  <c r="EN207" i="2"/>
  <c r="GK203" i="2"/>
  <c r="GL203" i="2" s="1"/>
  <c r="GM206" i="2"/>
  <c r="GK206" i="2"/>
  <c r="GL206" i="2" s="1"/>
  <c r="CD254" i="2"/>
  <c r="AO229" i="2"/>
  <c r="ET227" i="2"/>
  <c r="ET229" i="2" s="1"/>
  <c r="ET249" i="2" s="1"/>
  <c r="ET253" i="2" s="1"/>
  <c r="I413" i="2" s="1"/>
  <c r="U247" i="2"/>
  <c r="BU247" i="2"/>
  <c r="DZ247" i="2"/>
  <c r="GB247" i="2"/>
  <c r="AA145" i="2"/>
  <c r="EN185" i="2"/>
  <c r="EN187" i="2" s="1"/>
  <c r="EN191" i="2" s="1"/>
  <c r="AI345" i="2"/>
  <c r="EB345" i="2"/>
  <c r="GK189" i="2"/>
  <c r="GL189" i="2" s="1"/>
  <c r="AO207" i="2"/>
  <c r="ET207" i="2"/>
  <c r="GM196" i="2"/>
  <c r="EZ221" i="2"/>
  <c r="EZ229" i="2" s="1"/>
  <c r="GK219" i="2"/>
  <c r="GL219" i="2" s="1"/>
  <c r="GK224" i="2"/>
  <c r="GL224" i="2" s="1"/>
  <c r="GM245" i="2"/>
  <c r="GK245" i="2"/>
  <c r="GL245" i="2" s="1"/>
  <c r="AO169" i="2"/>
  <c r="EV187" i="2"/>
  <c r="EV191" i="2" s="1"/>
  <c r="FL345" i="2"/>
  <c r="FL187" i="2"/>
  <c r="FL191" i="2" s="1"/>
  <c r="CZ207" i="2"/>
  <c r="EZ207" i="2"/>
  <c r="GB207" i="2"/>
  <c r="GK200" i="2"/>
  <c r="GL200" i="2" s="1"/>
  <c r="GM204" i="2"/>
  <c r="Y229" i="2"/>
  <c r="Y249" i="2" s="1"/>
  <c r="Y253" i="2" s="1"/>
  <c r="GK126" i="2"/>
  <c r="GL126" i="2" s="1"/>
  <c r="W187" i="2"/>
  <c r="W191" i="2" s="1"/>
  <c r="W208" i="2" s="1"/>
  <c r="AM187" i="2"/>
  <c r="AM191" i="2" s="1"/>
  <c r="BC187" i="2"/>
  <c r="BC191" i="2" s="1"/>
  <c r="BS187" i="2"/>
  <c r="BS191" i="2" s="1"/>
  <c r="CJ345" i="2"/>
  <c r="CJ187" i="2"/>
  <c r="CJ191" i="2" s="1"/>
  <c r="DP187" i="2"/>
  <c r="DP191" i="2" s="1"/>
  <c r="EF187" i="2"/>
  <c r="EF191" i="2" s="1"/>
  <c r="EX187" i="2"/>
  <c r="EX191" i="2" s="1"/>
  <c r="FN187" i="2"/>
  <c r="FN191" i="2" s="1"/>
  <c r="GK196" i="2"/>
  <c r="GL196" i="2" s="1"/>
  <c r="AW254" i="2"/>
  <c r="AU221" i="2"/>
  <c r="CZ221" i="2"/>
  <c r="CZ229" i="2" s="1"/>
  <c r="O221" i="2"/>
  <c r="GM220" i="2"/>
  <c r="GK220" i="2"/>
  <c r="GL220" i="2" s="1"/>
  <c r="GM140" i="2"/>
  <c r="Y187" i="2"/>
  <c r="Y191" i="2" s="1"/>
  <c r="BE187" i="2"/>
  <c r="BE191" i="2" s="1"/>
  <c r="CL187" i="2"/>
  <c r="CL191" i="2" s="1"/>
  <c r="DB187" i="2"/>
  <c r="DB191" i="2" s="1"/>
  <c r="EB187" i="2"/>
  <c r="EB191" i="2" s="1"/>
  <c r="AC324" i="2"/>
  <c r="BI324" i="2"/>
  <c r="CP324" i="2"/>
  <c r="K345" i="2"/>
  <c r="EJ345" i="2"/>
  <c r="FB187" i="2"/>
  <c r="FB191" i="2" s="1"/>
  <c r="FR187" i="2"/>
  <c r="FR191" i="2" s="1"/>
  <c r="GM194" i="2"/>
  <c r="GK194" i="2"/>
  <c r="GL194" i="2" s="1"/>
  <c r="DR207" i="2"/>
  <c r="GK205" i="2"/>
  <c r="GL205" i="2" s="1"/>
  <c r="O207" i="2"/>
  <c r="GM219" i="2"/>
  <c r="BO254" i="2"/>
  <c r="CV254" i="2"/>
  <c r="FX254" i="2"/>
  <c r="GK225" i="2"/>
  <c r="GL225" i="2" s="1"/>
  <c r="AA247" i="2"/>
  <c r="CH247" i="2"/>
  <c r="EH247" i="2"/>
  <c r="GK233" i="2"/>
  <c r="GL233" i="2" s="1"/>
  <c r="GK235" i="2"/>
  <c r="GL235" i="2" s="1"/>
  <c r="GK237" i="2"/>
  <c r="GL237" i="2" s="1"/>
  <c r="GM240" i="2"/>
  <c r="GK240" i="2"/>
  <c r="GL240" i="2" s="1"/>
  <c r="GK242" i="2"/>
  <c r="GL242" i="2" s="1"/>
  <c r="AK254" i="2"/>
  <c r="BQ254" i="2"/>
  <c r="AG247" i="2"/>
  <c r="CN247" i="2"/>
  <c r="EN247" i="2"/>
  <c r="GM238" i="2"/>
  <c r="GM243" i="2"/>
  <c r="GM251" i="2"/>
  <c r="CB316" i="2"/>
  <c r="CJ254" i="2"/>
  <c r="FL254" i="2"/>
  <c r="GK217" i="2"/>
  <c r="GL217" i="2" s="1"/>
  <c r="DP229" i="2"/>
  <c r="DP249" i="2" s="1"/>
  <c r="DP253" i="2" s="1"/>
  <c r="EF229" i="2"/>
  <c r="EF249" i="2" s="1"/>
  <c r="EF253" i="2" s="1"/>
  <c r="EV229" i="2"/>
  <c r="EV249" i="2" s="1"/>
  <c r="EV253" i="2" s="1"/>
  <c r="EV254" i="2" s="1"/>
  <c r="FL229" i="2"/>
  <c r="FL249" i="2" s="1"/>
  <c r="FL253" i="2" s="1"/>
  <c r="GM225" i="2"/>
  <c r="AO247" i="2"/>
  <c r="CT247" i="2"/>
  <c r="ET247" i="2"/>
  <c r="GM233" i="2"/>
  <c r="GK236" i="2"/>
  <c r="GL236" i="2" s="1"/>
  <c r="BC345" i="2"/>
  <c r="DB254" i="2"/>
  <c r="AU247" i="2"/>
  <c r="CZ247" i="2"/>
  <c r="EZ247" i="2"/>
  <c r="GM234" i="2"/>
  <c r="GK261" i="2"/>
  <c r="O266" i="2"/>
  <c r="GK262" i="2"/>
  <c r="K254" i="2"/>
  <c r="AQ254" i="2"/>
  <c r="BW254" i="2"/>
  <c r="DT254" i="2"/>
  <c r="EJ254" i="2"/>
  <c r="GM217" i="2"/>
  <c r="BU345" i="2"/>
  <c r="BI345" i="2"/>
  <c r="AC254" i="2"/>
  <c r="BZ254" i="2"/>
  <c r="FB254" i="2"/>
  <c r="GM224" i="2"/>
  <c r="BG247" i="2"/>
  <c r="DL247" i="2"/>
  <c r="FP247" i="2"/>
  <c r="GM236" i="2"/>
  <c r="GK239" i="2"/>
  <c r="GL239" i="2" s="1"/>
  <c r="GK241" i="2"/>
  <c r="GL241" i="2" s="1"/>
  <c r="GK263" i="2"/>
  <c r="O247" i="2"/>
  <c r="BM247" i="2"/>
  <c r="DR247" i="2"/>
  <c r="FV247" i="2"/>
  <c r="FV249" i="2" s="1"/>
  <c r="FV253" i="2" s="1"/>
  <c r="CT266" i="2"/>
  <c r="ET266" i="2"/>
  <c r="DT320" i="2"/>
  <c r="U289" i="2"/>
  <c r="BU289" i="2"/>
  <c r="DZ289" i="2"/>
  <c r="GB289" i="2"/>
  <c r="GK274" i="2"/>
  <c r="FD318" i="2"/>
  <c r="FD320" i="2" s="1"/>
  <c r="FZ318" i="2"/>
  <c r="FZ320" i="2" s="1"/>
  <c r="BG302" i="2"/>
  <c r="BG316" i="2" s="1"/>
  <c r="DL302" i="2"/>
  <c r="DL316" i="2" s="1"/>
  <c r="FP302" i="2"/>
  <c r="GK295" i="2"/>
  <c r="GK300" i="2"/>
  <c r="BK316" i="2"/>
  <c r="BK318" i="2" s="1"/>
  <c r="BK320" i="2" s="1"/>
  <c r="U314" i="2"/>
  <c r="BU314" i="2"/>
  <c r="BU316" i="2" s="1"/>
  <c r="DZ314" i="2"/>
  <c r="GB314" i="2"/>
  <c r="CH344" i="2"/>
  <c r="EH344" i="2"/>
  <c r="FV344" i="2"/>
  <c r="GN335" i="2"/>
  <c r="GM340" i="2"/>
  <c r="GN340" i="2" s="1"/>
  <c r="DT345" i="2"/>
  <c r="EP345" i="2"/>
  <c r="FR345" i="2"/>
  <c r="CZ266" i="2"/>
  <c r="EZ266" i="2"/>
  <c r="GK270" i="2"/>
  <c r="GK284" i="2"/>
  <c r="O302" i="2"/>
  <c r="BM302" i="2"/>
  <c r="FV302" i="2"/>
  <c r="AG345" i="2"/>
  <c r="CN345" i="2"/>
  <c r="DB345" i="2"/>
  <c r="BA266" i="2"/>
  <c r="FJ266" i="2"/>
  <c r="AG289" i="2"/>
  <c r="CN289" i="2"/>
  <c r="GK271" i="2"/>
  <c r="BZ318" i="2"/>
  <c r="BZ320" i="2" s="1"/>
  <c r="FH318" i="2"/>
  <c r="FH320" i="2" s="1"/>
  <c r="U302" i="2"/>
  <c r="DZ302" i="2"/>
  <c r="GB302" i="2"/>
  <c r="ET345" i="2"/>
  <c r="GM341" i="2"/>
  <c r="GN341" i="2" s="1"/>
  <c r="Q345" i="2"/>
  <c r="BG266" i="2"/>
  <c r="DL266" i="2"/>
  <c r="FP266" i="2"/>
  <c r="AA266" i="2"/>
  <c r="CJ320" i="2"/>
  <c r="AO289" i="2"/>
  <c r="CT289" i="2"/>
  <c r="ET289" i="2"/>
  <c r="GK281" i="2"/>
  <c r="O289" i="2"/>
  <c r="AK318" i="2"/>
  <c r="AK320" i="2" s="1"/>
  <c r="BE318" i="2"/>
  <c r="BE320" i="2" s="1"/>
  <c r="CB318" i="2"/>
  <c r="CB320" i="2" s="1"/>
  <c r="CX318" i="2"/>
  <c r="CX320" i="2" s="1"/>
  <c r="CH316" i="2"/>
  <c r="GK292" i="2"/>
  <c r="FT316" i="2"/>
  <c r="FT318" i="2" s="1"/>
  <c r="FT320" i="2" s="1"/>
  <c r="AO314" i="2"/>
  <c r="AO316" i="2" s="1"/>
  <c r="CT314" i="2"/>
  <c r="CT316" i="2" s="1"/>
  <c r="ET314" i="2"/>
  <c r="ET316" i="2" s="1"/>
  <c r="AU344" i="2"/>
  <c r="CZ344" i="2"/>
  <c r="FP344" i="2"/>
  <c r="AQ345" i="2"/>
  <c r="BO345" i="2"/>
  <c r="BM266" i="2"/>
  <c r="DR266" i="2"/>
  <c r="FV266" i="2"/>
  <c r="CZ289" i="2"/>
  <c r="EZ289" i="2"/>
  <c r="GK272" i="2"/>
  <c r="GK276" i="2"/>
  <c r="Q318" i="2"/>
  <c r="Q320" i="2" s="1"/>
  <c r="AM318" i="2"/>
  <c r="AM320" i="2" s="1"/>
  <c r="ER318" i="2"/>
  <c r="ER320" i="2" s="1"/>
  <c r="FN318" i="2"/>
  <c r="FN320" i="2" s="1"/>
  <c r="AG302" i="2"/>
  <c r="AG316" i="2" s="1"/>
  <c r="CN302" i="2"/>
  <c r="EN302" i="2"/>
  <c r="EN316" i="2" s="1"/>
  <c r="GK293" i="2"/>
  <c r="BA344" i="2"/>
  <c r="EX344" i="2"/>
  <c r="AA344" i="2"/>
  <c r="GM330" i="2"/>
  <c r="GN330" i="2" s="1"/>
  <c r="GM342" i="2"/>
  <c r="GN342" i="2" s="1"/>
  <c r="W345" i="2"/>
  <c r="BU266" i="2"/>
  <c r="DZ266" i="2"/>
  <c r="GB266" i="2"/>
  <c r="FB320" i="2"/>
  <c r="BA289" i="2"/>
  <c r="DF289" i="2"/>
  <c r="FJ289" i="2"/>
  <c r="GK285" i="2"/>
  <c r="GM337" i="2"/>
  <c r="GN337" i="2" s="1"/>
  <c r="CH266" i="2"/>
  <c r="EH266" i="2"/>
  <c r="GK273" i="2"/>
  <c r="GK298" i="2"/>
  <c r="O344" i="2"/>
  <c r="EZ334" i="2"/>
  <c r="GM334" i="2" s="1"/>
  <c r="GN334" i="2" s="1"/>
  <c r="AC345" i="2"/>
  <c r="BW345" i="2"/>
  <c r="U249" i="2" l="1"/>
  <c r="U253" i="2" s="1"/>
  <c r="I387" i="2" s="1"/>
  <c r="AG112" i="2"/>
  <c r="AG116" i="2" s="1"/>
  <c r="AG208" i="2" s="1"/>
  <c r="DR112" i="2"/>
  <c r="DR116" i="2" s="1"/>
  <c r="EH229" i="2"/>
  <c r="BO208" i="2"/>
  <c r="CH229" i="2"/>
  <c r="U187" i="2"/>
  <c r="U191" i="2" s="1"/>
  <c r="DZ345" i="2"/>
  <c r="DR316" i="2"/>
  <c r="DR318" i="2" s="1"/>
  <c r="BA345" i="2"/>
  <c r="EP208" i="2"/>
  <c r="AA229" i="2"/>
  <c r="AU318" i="2"/>
  <c r="AU320" i="2" s="1"/>
  <c r="CH249" i="2"/>
  <c r="CH253" i="2" s="1"/>
  <c r="I398" i="2" s="1"/>
  <c r="U112" i="2"/>
  <c r="U116" i="2" s="1"/>
  <c r="U208" i="2" s="1"/>
  <c r="EZ58" i="2"/>
  <c r="EZ112" i="2" s="1"/>
  <c r="EZ116" i="2" s="1"/>
  <c r="GB112" i="2"/>
  <c r="GB116" i="2" s="1"/>
  <c r="K208" i="2"/>
  <c r="EN345" i="2"/>
  <c r="GK227" i="2"/>
  <c r="GL227" i="2" s="1"/>
  <c r="CH187" i="2"/>
  <c r="CH191" i="2" s="1"/>
  <c r="CH208" i="2" s="1"/>
  <c r="CJ208" i="2"/>
  <c r="U345" i="2"/>
  <c r="BA112" i="2"/>
  <c r="BA116" i="2" s="1"/>
  <c r="AU112" i="2"/>
  <c r="AU116" i="2" s="1"/>
  <c r="DL112" i="2"/>
  <c r="DL116" i="2" s="1"/>
  <c r="EH249" i="2"/>
  <c r="EH253" i="2" s="1"/>
  <c r="I410" i="2" s="1"/>
  <c r="CN316" i="2"/>
  <c r="FP249" i="2"/>
  <c r="FP253" i="2" s="1"/>
  <c r="I416" i="2" s="1"/>
  <c r="AA249" i="2"/>
  <c r="AA253" i="2" s="1"/>
  <c r="AA254" i="2" s="1"/>
  <c r="BM187" i="2"/>
  <c r="BM191" i="2" s="1"/>
  <c r="DZ112" i="2"/>
  <c r="DZ116" i="2" s="1"/>
  <c r="DZ208" i="2" s="1"/>
  <c r="EN112" i="2"/>
  <c r="EN116" i="2" s="1"/>
  <c r="EN208" i="2" s="1"/>
  <c r="BG112" i="2"/>
  <c r="BG116" i="2" s="1"/>
  <c r="DL318" i="2"/>
  <c r="BM112" i="2"/>
  <c r="BM116" i="2" s="1"/>
  <c r="CN229" i="2"/>
  <c r="CN249" i="2" s="1"/>
  <c r="CN253" i="2" s="1"/>
  <c r="AG229" i="2"/>
  <c r="AG249" i="2" s="1"/>
  <c r="AG253" i="2" s="1"/>
  <c r="EH318" i="2"/>
  <c r="FV316" i="2"/>
  <c r="FV318" i="2" s="1"/>
  <c r="DT208" i="2"/>
  <c r="BC208" i="2"/>
  <c r="CN187" i="2"/>
  <c r="CN191" i="2" s="1"/>
  <c r="BG187" i="2"/>
  <c r="BG191" i="2" s="1"/>
  <c r="FV187" i="2"/>
  <c r="FV191" i="2" s="1"/>
  <c r="FP229" i="2"/>
  <c r="BA229" i="2"/>
  <c r="BA249" i="2" s="1"/>
  <c r="BA253" i="2" s="1"/>
  <c r="I393" i="2" s="1"/>
  <c r="CZ318" i="2"/>
  <c r="CZ320" i="2" s="1"/>
  <c r="BM316" i="2"/>
  <c r="BM318" i="2" s="1"/>
  <c r="BG318" i="2"/>
  <c r="BG320" i="2" s="1"/>
  <c r="BG321" i="2" s="1"/>
  <c r="AO249" i="2"/>
  <c r="AO253" i="2" s="1"/>
  <c r="I390" i="2" s="1"/>
  <c r="AO112" i="2"/>
  <c r="AO116" i="2" s="1"/>
  <c r="FF208" i="2"/>
  <c r="CB254" i="2"/>
  <c r="BA316" i="2"/>
  <c r="BA318" i="2" s="1"/>
  <c r="BA320" i="2" s="1"/>
  <c r="BA321" i="2" s="1"/>
  <c r="EN249" i="2"/>
  <c r="EN253" i="2" s="1"/>
  <c r="I412" i="2" s="1"/>
  <c r="AA345" i="2"/>
  <c r="GM145" i="2"/>
  <c r="ET318" i="2"/>
  <c r="GM181" i="2"/>
  <c r="DR229" i="2"/>
  <c r="DR249" i="2" s="1"/>
  <c r="DR253" i="2" s="1"/>
  <c r="EZ316" i="2"/>
  <c r="EZ318" i="2" s="1"/>
  <c r="EZ320" i="2" s="1"/>
  <c r="EZ321" i="2" s="1"/>
  <c r="BG229" i="2"/>
  <c r="AU208" i="2"/>
  <c r="CN112" i="2"/>
  <c r="CN116" i="2" s="1"/>
  <c r="AG318" i="2"/>
  <c r="AG320" i="2" s="1"/>
  <c r="AG321" i="2" s="1"/>
  <c r="FV345" i="2"/>
  <c r="ED254" i="2"/>
  <c r="GM169" i="2"/>
  <c r="FR208" i="2"/>
  <c r="DF345" i="2"/>
  <c r="CV208" i="2"/>
  <c r="BA254" i="2"/>
  <c r="BM229" i="2"/>
  <c r="BM249" i="2" s="1"/>
  <c r="BM253" i="2" s="1"/>
  <c r="BG345" i="2"/>
  <c r="GK314" i="2"/>
  <c r="AU229" i="2"/>
  <c r="AU249" i="2" s="1"/>
  <c r="AU253" i="2" s="1"/>
  <c r="FJ318" i="2"/>
  <c r="FV320" i="2"/>
  <c r="FV321" i="2" s="1"/>
  <c r="AU345" i="2"/>
  <c r="AO318" i="2"/>
  <c r="AO320" i="2" s="1"/>
  <c r="AO321" i="2" s="1"/>
  <c r="FP320" i="2"/>
  <c r="FP321" i="2" s="1"/>
  <c r="GB316" i="2"/>
  <c r="EH345" i="2"/>
  <c r="DV254" i="2"/>
  <c r="EZ187" i="2"/>
  <c r="EZ191" i="2" s="1"/>
  <c r="GK181" i="2"/>
  <c r="GL181" i="2" s="1"/>
  <c r="FP187" i="2"/>
  <c r="FP191" i="2" s="1"/>
  <c r="BA187" i="2"/>
  <c r="BA191" i="2" s="1"/>
  <c r="BA208" i="2" s="1"/>
  <c r="BU112" i="2"/>
  <c r="BU116" i="2" s="1"/>
  <c r="BU208" i="2" s="1"/>
  <c r="FJ316" i="2"/>
  <c r="FJ229" i="2"/>
  <c r="FJ249" i="2" s="1"/>
  <c r="FJ253" i="2" s="1"/>
  <c r="I415" i="2" s="1"/>
  <c r="BG249" i="2"/>
  <c r="BG253" i="2" s="1"/>
  <c r="I394" i="2" s="1"/>
  <c r="EH320" i="2"/>
  <c r="EH321" i="2" s="1"/>
  <c r="EN318" i="2"/>
  <c r="EN320" i="2" s="1"/>
  <c r="EN321" i="2" s="1"/>
  <c r="CH345" i="2"/>
  <c r="FP316" i="2"/>
  <c r="FP318" i="2" s="1"/>
  <c r="BU318" i="2"/>
  <c r="BU320" i="2" s="1"/>
  <c r="BU321" i="2" s="1"/>
  <c r="CZ187" i="2"/>
  <c r="CZ191" i="2" s="1"/>
  <c r="CZ208" i="2" s="1"/>
  <c r="ET187" i="2"/>
  <c r="ET191" i="2" s="1"/>
  <c r="ET208" i="2" s="1"/>
  <c r="DR187" i="2"/>
  <c r="DR191" i="2" s="1"/>
  <c r="DR208" i="2" s="1"/>
  <c r="CT112" i="2"/>
  <c r="CT116" i="2" s="1"/>
  <c r="FP112" i="2"/>
  <c r="FP116" i="2" s="1"/>
  <c r="EH112" i="2"/>
  <c r="EH116" i="2" s="1"/>
  <c r="BI208" i="2"/>
  <c r="AA112" i="2"/>
  <c r="AA116" i="2" s="1"/>
  <c r="DF316" i="2"/>
  <c r="DF318" i="2" s="1"/>
  <c r="DF320" i="2" s="1"/>
  <c r="DF321" i="2" s="1"/>
  <c r="DF229" i="2"/>
  <c r="DF249" i="2" s="1"/>
  <c r="DF253" i="2" s="1"/>
  <c r="I405" i="2" s="1"/>
  <c r="I417" i="2"/>
  <c r="FV254" i="2"/>
  <c r="FJ208" i="2"/>
  <c r="BG208" i="2"/>
  <c r="EZ344" i="2"/>
  <c r="EZ345" i="2" s="1"/>
  <c r="DR320" i="2"/>
  <c r="ET320" i="2"/>
  <c r="ET321" i="2" s="1"/>
  <c r="BU249" i="2"/>
  <c r="BU253" i="2" s="1"/>
  <c r="EH254" i="2"/>
  <c r="GM163" i="2"/>
  <c r="GK163" i="2"/>
  <c r="GL163" i="2" s="1"/>
  <c r="GM50" i="2"/>
  <c r="GK50" i="2"/>
  <c r="GL50" i="2" s="1"/>
  <c r="GM104" i="2"/>
  <c r="GK104" i="2"/>
  <c r="GL104" i="2" s="1"/>
  <c r="EB208" i="2"/>
  <c r="GK130" i="2"/>
  <c r="GL130" i="2" s="1"/>
  <c r="GM130" i="2"/>
  <c r="U316" i="2"/>
  <c r="U318" i="2" s="1"/>
  <c r="U320" i="2" s="1"/>
  <c r="U321" i="2" s="1"/>
  <c r="O345" i="2"/>
  <c r="GM227" i="2"/>
  <c r="DZ249" i="2"/>
  <c r="DZ253" i="2" s="1"/>
  <c r="EZ249" i="2"/>
  <c r="EZ253" i="2" s="1"/>
  <c r="I414" i="2" s="1"/>
  <c r="CT187" i="2"/>
  <c r="CT191" i="2" s="1"/>
  <c r="CT208" i="2" s="1"/>
  <c r="AA187" i="2"/>
  <c r="AA191" i="2" s="1"/>
  <c r="GK145" i="2"/>
  <c r="GL145" i="2" s="1"/>
  <c r="GK169" i="2"/>
  <c r="GL169" i="2" s="1"/>
  <c r="GN344" i="2"/>
  <c r="GK289" i="2"/>
  <c r="FJ320" i="2"/>
  <c r="FJ321" i="2" s="1"/>
  <c r="GK266" i="2"/>
  <c r="GM207" i="2"/>
  <c r="GK207" i="2"/>
  <c r="GL207" i="2" s="1"/>
  <c r="O229" i="2"/>
  <c r="GM221" i="2"/>
  <c r="GK221" i="2"/>
  <c r="GL221" i="2" s="1"/>
  <c r="AU254" i="2"/>
  <c r="GK42" i="2"/>
  <c r="GL42" i="2" s="1"/>
  <c r="GM42" i="2"/>
  <c r="GM58" i="2"/>
  <c r="FP345" i="2"/>
  <c r="GK302" i="2"/>
  <c r="O316" i="2"/>
  <c r="CZ249" i="2"/>
  <c r="CZ253" i="2" s="1"/>
  <c r="I404" i="2" s="1"/>
  <c r="ET254" i="2"/>
  <c r="U254" i="2"/>
  <c r="GM185" i="2"/>
  <c r="GK185" i="2"/>
  <c r="GL185" i="2" s="1"/>
  <c r="O187" i="2"/>
  <c r="GM75" i="2"/>
  <c r="GK75" i="2"/>
  <c r="GL75" i="2" s="1"/>
  <c r="CN318" i="2"/>
  <c r="CN320" i="2" s="1"/>
  <c r="CN321" i="2" s="1"/>
  <c r="FV208" i="2"/>
  <c r="CT249" i="2"/>
  <c r="CT253" i="2" s="1"/>
  <c r="DB208" i="2"/>
  <c r="BM208" i="2"/>
  <c r="CH320" i="2"/>
  <c r="CH321" i="2" s="1"/>
  <c r="CT318" i="2"/>
  <c r="CT320" i="2" s="1"/>
  <c r="CT321" i="2" s="1"/>
  <c r="AA320" i="2"/>
  <c r="AA321" i="2" s="1"/>
  <c r="DL254" i="2"/>
  <c r="AO187" i="2"/>
  <c r="AO191" i="2" s="1"/>
  <c r="FL208" i="2"/>
  <c r="EH187" i="2"/>
  <c r="EH191" i="2" s="1"/>
  <c r="AC208" i="2"/>
  <c r="GM97" i="2"/>
  <c r="GK97" i="2"/>
  <c r="GL97" i="2" s="1"/>
  <c r="O112" i="2"/>
  <c r="CP208" i="2"/>
  <c r="GB318" i="2"/>
  <c r="GB320" i="2" s="1"/>
  <c r="BM320" i="2"/>
  <c r="BM321" i="2" s="1"/>
  <c r="DL320" i="2"/>
  <c r="DZ316" i="2"/>
  <c r="DZ318" i="2" s="1"/>
  <c r="DZ320" i="2" s="1"/>
  <c r="DZ321" i="2" s="1"/>
  <c r="GK247" i="2"/>
  <c r="GL247" i="2" s="1"/>
  <c r="GM247" i="2"/>
  <c r="EN254" i="2"/>
  <c r="GB249" i="2"/>
  <c r="GB253" i="2" s="1"/>
  <c r="I418" i="2" s="1"/>
  <c r="GB187" i="2"/>
  <c r="GB191" i="2" s="1"/>
  <c r="GB208" i="2" s="1"/>
  <c r="DL187" i="2"/>
  <c r="DL191" i="2" s="1"/>
  <c r="DL208" i="2" s="1"/>
  <c r="FJ187" i="2"/>
  <c r="FJ191" i="2" s="1"/>
  <c r="DF187" i="2"/>
  <c r="DF191" i="2" s="1"/>
  <c r="DF208" i="2" s="1"/>
  <c r="GM90" i="2"/>
  <c r="GK90" i="2"/>
  <c r="GL90" i="2" s="1"/>
  <c r="I389" i="2" l="1"/>
  <c r="AG254" i="2"/>
  <c r="I402" i="2"/>
  <c r="CN254" i="2"/>
  <c r="EZ208" i="2"/>
  <c r="I388" i="2"/>
  <c r="EH208" i="2"/>
  <c r="CH254" i="2"/>
  <c r="FP208" i="2"/>
  <c r="CN208" i="2"/>
  <c r="GK58" i="2"/>
  <c r="GL58" i="2" s="1"/>
  <c r="AO254" i="2"/>
  <c r="DF254" i="2"/>
  <c r="BG254" i="2"/>
  <c r="FP254" i="2"/>
  <c r="I407" i="2"/>
  <c r="DR254" i="2"/>
  <c r="I395" i="2"/>
  <c r="BM254" i="2"/>
  <c r="GK316" i="2"/>
  <c r="AO208" i="2"/>
  <c r="EZ254" i="2"/>
  <c r="FJ254" i="2"/>
  <c r="AA208" i="2"/>
  <c r="GB254" i="2"/>
  <c r="GM187" i="2"/>
  <c r="GK187" i="2"/>
  <c r="GL187" i="2" s="1"/>
  <c r="O191" i="2"/>
  <c r="GM344" i="2"/>
  <c r="I396" i="2"/>
  <c r="BU254" i="2"/>
  <c r="CZ254" i="2"/>
  <c r="GM112" i="2"/>
  <c r="GK112" i="2"/>
  <c r="GL112" i="2" s="1"/>
  <c r="O116" i="2"/>
  <c r="I403" i="2"/>
  <c r="CT254" i="2"/>
  <c r="O318" i="2"/>
  <c r="O249" i="2"/>
  <c r="GM229" i="2"/>
  <c r="GK229" i="2"/>
  <c r="GL229" i="2" s="1"/>
  <c r="I408" i="2"/>
  <c r="DZ254" i="2"/>
  <c r="O253" i="2" l="1"/>
  <c r="GM249" i="2"/>
  <c r="GK249" i="2"/>
  <c r="GL249" i="2" s="1"/>
  <c r="GK318" i="2"/>
  <c r="O320" i="2"/>
  <c r="GM191" i="2"/>
  <c r="GK191" i="2"/>
  <c r="GL191" i="2" s="1"/>
  <c r="GM116" i="2"/>
  <c r="O208" i="2"/>
  <c r="GK116" i="2"/>
  <c r="GL116" i="2" s="1"/>
  <c r="GN116" i="2" s="1"/>
  <c r="I386" i="2" l="1"/>
  <c r="I420" i="2" s="1"/>
  <c r="GM253" i="2"/>
  <c r="GK253" i="2"/>
  <c r="GL253" i="2" s="1"/>
  <c r="O254" i="2"/>
  <c r="O321" i="2"/>
  <c r="GK320" i="2"/>
  <c r="I423" i="2" l="1"/>
  <c r="I425" i="2" s="1"/>
  <c r="I421" i="2"/>
  <c r="AN51" i="8" l="1"/>
  <c r="BS51" i="8" s="1"/>
  <c r="AN52" i="8"/>
  <c r="BS52" i="8" s="1"/>
  <c r="AN53" i="8"/>
  <c r="BS53" i="8" s="1"/>
  <c r="AN23" i="8"/>
  <c r="BS23" i="8" s="1"/>
  <c r="AN17" i="8"/>
  <c r="BS17" i="8" s="1"/>
  <c r="B16" i="20"/>
  <c r="C371" i="17" l="1"/>
  <c r="I33" i="13"/>
  <c r="E31" i="10" l="1"/>
  <c r="D31" i="10"/>
  <c r="B273" i="12" l="1"/>
  <c r="B240" i="12"/>
  <c r="B272" i="12"/>
  <c r="B239" i="12"/>
  <c r="A219" i="12"/>
  <c r="A220" i="12"/>
  <c r="A221" i="12"/>
  <c r="A222" i="12"/>
  <c r="A223" i="12"/>
  <c r="A224" i="12"/>
  <c r="A225" i="12"/>
  <c r="A226" i="12"/>
  <c r="A227" i="12"/>
  <c r="A228" i="12"/>
  <c r="A229" i="12"/>
  <c r="A230" i="12"/>
  <c r="A231" i="12"/>
  <c r="A232" i="12"/>
  <c r="A233" i="12"/>
  <c r="A234" i="12"/>
  <c r="A218" i="12"/>
  <c r="C239" i="12"/>
  <c r="H235" i="12"/>
  <c r="D234" i="12"/>
  <c r="D233" i="12"/>
  <c r="D232" i="12"/>
  <c r="D231" i="12"/>
  <c r="D230" i="12"/>
  <c r="D229" i="12"/>
  <c r="D228" i="12"/>
  <c r="D227" i="12"/>
  <c r="D226" i="12"/>
  <c r="D225" i="12"/>
  <c r="D224" i="12"/>
  <c r="D223" i="12"/>
  <c r="D222" i="12"/>
  <c r="D221" i="12"/>
  <c r="D220" i="12"/>
  <c r="D219" i="12"/>
  <c r="D218" i="12"/>
  <c r="C272" i="12"/>
  <c r="H268" i="12"/>
  <c r="D267" i="12"/>
  <c r="D266" i="12"/>
  <c r="D265" i="12"/>
  <c r="D264" i="12"/>
  <c r="D263" i="12"/>
  <c r="D262" i="12"/>
  <c r="D261" i="12"/>
  <c r="D260" i="12"/>
  <c r="D259" i="12"/>
  <c r="D258" i="12"/>
  <c r="D257" i="12"/>
  <c r="D256" i="12"/>
  <c r="D255" i="12"/>
  <c r="D254" i="12"/>
  <c r="D253" i="12"/>
  <c r="D252" i="12"/>
  <c r="D251" i="12"/>
  <c r="D191" i="12"/>
  <c r="B48" i="12"/>
  <c r="L22" i="12"/>
  <c r="F22" i="12"/>
  <c r="F218" i="12" s="1"/>
  <c r="E22" i="12"/>
  <c r="B55" i="19"/>
  <c r="C55" i="19"/>
  <c r="D55" i="19" l="1"/>
  <c r="E55" i="19" s="1"/>
  <c r="G272" i="12"/>
  <c r="F272" i="12"/>
  <c r="F239" i="12"/>
  <c r="G239" i="12"/>
  <c r="D239" i="12"/>
  <c r="D272" i="12"/>
  <c r="G22" i="12"/>
  <c r="M183" i="1"/>
  <c r="M162" i="1"/>
  <c r="N162" i="1" l="1"/>
  <c r="D80" i="3" s="1"/>
  <c r="N183" i="1"/>
  <c r="D98" i="3" s="1"/>
  <c r="H272" i="12"/>
  <c r="H239" i="12"/>
  <c r="C80" i="3"/>
  <c r="C98" i="3"/>
  <c r="O162" i="1" l="1"/>
  <c r="E80" i="3" s="1"/>
  <c r="O183" i="1"/>
  <c r="E98" i="3" s="1"/>
  <c r="G213" i="1"/>
  <c r="G68" i="1"/>
  <c r="M67" i="11" l="1"/>
  <c r="M53" i="11"/>
  <c r="G46" i="11"/>
  <c r="D135" i="11"/>
  <c r="D110" i="11"/>
  <c r="M69" i="11"/>
  <c r="M43" i="11"/>
  <c r="C507" i="17" l="1"/>
  <c r="C504" i="17"/>
  <c r="B57" i="19" l="1"/>
  <c r="B56" i="19"/>
  <c r="C56" i="19"/>
  <c r="D56" i="19" l="1"/>
  <c r="E56" i="19" s="1"/>
  <c r="D288" i="12" l="1"/>
  <c r="B213" i="12"/>
  <c r="B306" i="12"/>
  <c r="B305" i="12"/>
  <c r="B49" i="12" l="1"/>
  <c r="B47" i="12"/>
  <c r="B46" i="12"/>
  <c r="L23" i="12"/>
  <c r="L24" i="12"/>
  <c r="F23" i="12"/>
  <c r="F251" i="12" s="1"/>
  <c r="F24" i="12"/>
  <c r="F25" i="12"/>
  <c r="E24" i="12"/>
  <c r="E25" i="12"/>
  <c r="E23" i="12"/>
  <c r="D136" i="11"/>
  <c r="D131" i="11"/>
  <c r="D132" i="11"/>
  <c r="D133" i="11"/>
  <c r="D134" i="11"/>
  <c r="D130" i="11"/>
  <c r="D111" i="11"/>
  <c r="D106" i="11"/>
  <c r="D107" i="11"/>
  <c r="D108" i="11"/>
  <c r="D109" i="11"/>
  <c r="D105" i="11"/>
  <c r="D103" i="11"/>
  <c r="M70" i="11"/>
  <c r="J46" i="11"/>
  <c r="D46" i="11"/>
  <c r="M44" i="11"/>
  <c r="G23" i="12" l="1"/>
  <c r="D137" i="11"/>
  <c r="B100" i="3" l="1"/>
  <c r="B82" i="3"/>
  <c r="M185" i="1" l="1"/>
  <c r="N185" i="1" l="1"/>
  <c r="D100" i="3" s="1"/>
  <c r="C100" i="3"/>
  <c r="M164" i="1"/>
  <c r="O185" i="1" l="1"/>
  <c r="N164" i="1"/>
  <c r="O164" i="1" s="1"/>
  <c r="E100" i="3"/>
  <c r="C82" i="3"/>
  <c r="AN54" i="8"/>
  <c r="AN13" i="8"/>
  <c r="AN14" i="8"/>
  <c r="AN15" i="8"/>
  <c r="AN16" i="8"/>
  <c r="AN18" i="8"/>
  <c r="AN19" i="8"/>
  <c r="AN20" i="8"/>
  <c r="AN21" i="8"/>
  <c r="AN22" i="8"/>
  <c r="AN24" i="8"/>
  <c r="AN25" i="8"/>
  <c r="AN26" i="8"/>
  <c r="AN27" i="8"/>
  <c r="AN28" i="8"/>
  <c r="AN29" i="8"/>
  <c r="AN30" i="8"/>
  <c r="AN31" i="8"/>
  <c r="AN32" i="8"/>
  <c r="AN33" i="8"/>
  <c r="AN34" i="8"/>
  <c r="AN35" i="8"/>
  <c r="AN36" i="8"/>
  <c r="AN37" i="8"/>
  <c r="AN38" i="8"/>
  <c r="AN39" i="8"/>
  <c r="AN40" i="8"/>
  <c r="AN41" i="8"/>
  <c r="AN42" i="8"/>
  <c r="AN43" i="8"/>
  <c r="AN44" i="8"/>
  <c r="AN45" i="8"/>
  <c r="AN46" i="8"/>
  <c r="AN47" i="8"/>
  <c r="AN48" i="8"/>
  <c r="AN49" i="8"/>
  <c r="AN50" i="8"/>
  <c r="AN12" i="8"/>
  <c r="D82" i="3" l="1"/>
  <c r="E82" i="3"/>
  <c r="L21" i="12"/>
  <c r="H171" i="12" l="1"/>
  <c r="J72" i="11" l="1"/>
  <c r="G72" i="11"/>
  <c r="D72" i="11"/>
  <c r="D60" i="11"/>
  <c r="J60" i="11"/>
  <c r="G60" i="11"/>
  <c r="G74" i="11" l="1"/>
  <c r="J74" i="11"/>
  <c r="D74" i="11"/>
  <c r="Q109" i="7"/>
  <c r="Q108" i="7"/>
  <c r="Q107" i="7"/>
  <c r="Q106" i="7"/>
  <c r="Q105" i="7"/>
  <c r="Q103" i="7"/>
  <c r="Q102" i="7"/>
  <c r="Q101" i="7"/>
  <c r="Q100" i="7"/>
  <c r="Q99" i="7"/>
  <c r="Q97" i="7"/>
  <c r="Q96" i="7"/>
  <c r="Q95" i="7"/>
  <c r="Q94" i="7"/>
  <c r="Q93" i="7"/>
  <c r="Q91" i="7"/>
  <c r="Q90" i="7"/>
  <c r="Q89" i="7"/>
  <c r="Q88" i="7"/>
  <c r="Q87" i="7"/>
  <c r="Q85" i="7"/>
  <c r="Q84" i="7"/>
  <c r="Q83" i="7"/>
  <c r="Q82" i="7"/>
  <c r="Q81" i="7"/>
  <c r="Q79" i="7"/>
  <c r="Q78" i="7"/>
  <c r="Q77" i="7"/>
  <c r="Q76" i="7"/>
  <c r="Q75" i="7"/>
  <c r="Q74" i="7"/>
  <c r="Q72" i="7"/>
  <c r="Q71" i="7"/>
  <c r="Q70" i="7"/>
  <c r="Q69" i="7"/>
  <c r="Q68" i="7"/>
  <c r="Q66" i="7"/>
  <c r="Q65" i="7"/>
  <c r="Q64" i="7"/>
  <c r="Q63" i="7"/>
  <c r="Q62" i="7"/>
  <c r="Q60" i="7"/>
  <c r="Q59" i="7"/>
  <c r="Q58" i="7"/>
  <c r="Q57" i="7"/>
  <c r="Q56" i="7"/>
  <c r="Q54" i="7"/>
  <c r="Q53" i="7"/>
  <c r="Q52" i="7"/>
  <c r="Q51" i="7"/>
  <c r="Q50" i="7"/>
  <c r="Q48" i="7"/>
  <c r="Q47" i="7"/>
  <c r="Q46" i="7"/>
  <c r="Q45" i="7"/>
  <c r="Q44" i="7"/>
  <c r="Q42" i="7"/>
  <c r="Q41" i="7"/>
  <c r="Q40" i="7"/>
  <c r="Q39" i="7"/>
  <c r="Q38" i="7"/>
  <c r="Q36" i="7"/>
  <c r="Q35" i="7"/>
  <c r="Q34" i="7"/>
  <c r="Q33" i="7"/>
  <c r="Q32" i="7"/>
  <c r="Q30" i="7"/>
  <c r="Q29" i="7"/>
  <c r="Q28" i="7"/>
  <c r="Q27" i="7"/>
  <c r="Q26" i="7"/>
  <c r="Q24" i="7"/>
  <c r="Q23" i="7"/>
  <c r="Q22" i="7"/>
  <c r="Q21" i="7"/>
  <c r="Q20" i="7"/>
  <c r="Q18" i="7"/>
  <c r="Q17" i="7"/>
  <c r="Q16" i="7"/>
  <c r="Q15" i="7"/>
  <c r="Q14" i="7"/>
  <c r="Q12" i="7"/>
  <c r="I149" i="1" l="1"/>
  <c r="H149" i="1"/>
  <c r="G149" i="1"/>
  <c r="G1" i="1" l="1"/>
  <c r="BS19" i="8" l="1"/>
  <c r="BS42" i="8"/>
  <c r="BS18" i="8" l="1"/>
  <c r="K17" i="12" l="1"/>
  <c r="A289" i="12"/>
  <c r="A290" i="12"/>
  <c r="A291" i="12"/>
  <c r="A292" i="12"/>
  <c r="A293" i="12"/>
  <c r="A294" i="12"/>
  <c r="A295" i="12"/>
  <c r="A296" i="12"/>
  <c r="A297" i="12"/>
  <c r="A298" i="12"/>
  <c r="A299" i="12"/>
  <c r="A300" i="12"/>
  <c r="A301" i="12"/>
  <c r="A302" i="12"/>
  <c r="A303" i="12"/>
  <c r="A304" i="12"/>
  <c r="A288" i="12"/>
  <c r="D83" i="11"/>
  <c r="N79" i="18"/>
  <c r="N80" i="18" s="1"/>
  <c r="M79" i="18"/>
  <c r="M80" i="18" s="1"/>
  <c r="C443" i="17" l="1"/>
  <c r="C54" i="19" l="1"/>
  <c r="B54" i="19"/>
  <c r="D54" i="19" l="1"/>
  <c r="E54" i="19" s="1"/>
  <c r="B212" i="12" l="1"/>
  <c r="A192" i="12"/>
  <c r="A193" i="12"/>
  <c r="A194" i="12"/>
  <c r="A195" i="12"/>
  <c r="A196" i="12"/>
  <c r="A197" i="12"/>
  <c r="A198" i="12"/>
  <c r="A199" i="12"/>
  <c r="A200" i="12"/>
  <c r="A201" i="12"/>
  <c r="A202" i="12"/>
  <c r="A203" i="12"/>
  <c r="A204" i="12"/>
  <c r="A205" i="12"/>
  <c r="A206" i="12"/>
  <c r="A207" i="12"/>
  <c r="A191" i="12"/>
  <c r="C212" i="12"/>
  <c r="D207" i="12"/>
  <c r="D206" i="12"/>
  <c r="D205" i="12"/>
  <c r="D204" i="12"/>
  <c r="D203" i="12"/>
  <c r="D202" i="12"/>
  <c r="D201" i="12"/>
  <c r="D200" i="12"/>
  <c r="D199" i="12"/>
  <c r="D198" i="12"/>
  <c r="D197" i="12"/>
  <c r="D196" i="12"/>
  <c r="D195" i="12"/>
  <c r="D194" i="12"/>
  <c r="D193" i="12"/>
  <c r="D192" i="12"/>
  <c r="A155" i="12"/>
  <c r="A252" i="12" s="1"/>
  <c r="A156" i="12"/>
  <c r="A253" i="12" s="1"/>
  <c r="A157" i="12"/>
  <c r="A254" i="12" s="1"/>
  <c r="A158" i="12"/>
  <c r="A255" i="12" s="1"/>
  <c r="A159" i="12"/>
  <c r="A256" i="12" s="1"/>
  <c r="A160" i="12"/>
  <c r="A257" i="12" s="1"/>
  <c r="A161" i="12"/>
  <c r="A258" i="12" s="1"/>
  <c r="A162" i="12"/>
  <c r="A259" i="12" s="1"/>
  <c r="A163" i="12"/>
  <c r="A260" i="12" s="1"/>
  <c r="A164" i="12"/>
  <c r="A261" i="12" s="1"/>
  <c r="A165" i="12"/>
  <c r="A262" i="12" s="1"/>
  <c r="A166" i="12"/>
  <c r="A263" i="12" s="1"/>
  <c r="A167" i="12"/>
  <c r="A264" i="12" s="1"/>
  <c r="A168" i="12"/>
  <c r="A265" i="12" s="1"/>
  <c r="A169" i="12"/>
  <c r="A266" i="12" s="1"/>
  <c r="A170" i="12"/>
  <c r="A267" i="12" s="1"/>
  <c r="A154" i="12"/>
  <c r="A251" i="12" s="1"/>
  <c r="A132" i="12"/>
  <c r="A133" i="12"/>
  <c r="A134" i="12"/>
  <c r="A135" i="12"/>
  <c r="A136" i="12"/>
  <c r="A137" i="12"/>
  <c r="A138" i="12"/>
  <c r="A139" i="12"/>
  <c r="A140" i="12"/>
  <c r="A141" i="12"/>
  <c r="A142" i="12"/>
  <c r="A143" i="12"/>
  <c r="A144" i="12"/>
  <c r="A145" i="12"/>
  <c r="A146" i="12"/>
  <c r="A147" i="12"/>
  <c r="A131" i="12"/>
  <c r="D170" i="12"/>
  <c r="D169" i="12"/>
  <c r="D168" i="12"/>
  <c r="D167" i="12"/>
  <c r="D166" i="12"/>
  <c r="D165" i="12"/>
  <c r="D164" i="12"/>
  <c r="D163" i="12"/>
  <c r="D162" i="12"/>
  <c r="D161" i="12"/>
  <c r="D160" i="12"/>
  <c r="D159" i="12"/>
  <c r="D158" i="12"/>
  <c r="D157" i="12"/>
  <c r="D156" i="12"/>
  <c r="D155" i="12"/>
  <c r="D154" i="12"/>
  <c r="C175" i="12"/>
  <c r="B176" i="12"/>
  <c r="B175" i="12"/>
  <c r="E21" i="12"/>
  <c r="F21" i="12"/>
  <c r="F191" i="12" s="1"/>
  <c r="F170" i="12" l="1"/>
  <c r="G170" i="12"/>
  <c r="D212" i="12"/>
  <c r="D175" i="12"/>
  <c r="G21" i="12"/>
  <c r="H170" i="12" l="1"/>
  <c r="M68" i="11"/>
  <c r="M66" i="11"/>
  <c r="M65" i="11"/>
  <c r="M64" i="11"/>
  <c r="M58" i="11"/>
  <c r="J76" i="11"/>
  <c r="G76" i="11"/>
  <c r="D76" i="11"/>
  <c r="M39" i="11"/>
  <c r="M41" i="11"/>
  <c r="A42" i="11" s="1"/>
  <c r="M34" i="11"/>
  <c r="A35" i="11" s="1"/>
  <c r="M40" i="11"/>
  <c r="M38" i="11"/>
  <c r="M37" i="11"/>
  <c r="M182" i="1"/>
  <c r="M161" i="1"/>
  <c r="N161" i="1" l="1"/>
  <c r="O161" i="1" s="1"/>
  <c r="N182" i="1"/>
  <c r="D97" i="3" s="1"/>
  <c r="N72" i="11"/>
  <c r="C97" i="3"/>
  <c r="C79" i="3"/>
  <c r="M72" i="11"/>
  <c r="O182" i="1" l="1"/>
  <c r="E97" i="3" s="1"/>
  <c r="D79" i="3"/>
  <c r="E79" i="3"/>
  <c r="D32" i="19"/>
  <c r="H73" i="12"/>
  <c r="D131" i="12" l="1"/>
  <c r="H301" i="4" l="1"/>
  <c r="H300" i="4"/>
  <c r="H299" i="4"/>
  <c r="H298" i="4"/>
  <c r="H297" i="4"/>
  <c r="H296" i="4"/>
  <c r="H295" i="4"/>
  <c r="H294" i="4"/>
  <c r="H293" i="4"/>
  <c r="H292" i="4"/>
  <c r="H291" i="4"/>
  <c r="H290" i="4"/>
  <c r="H289" i="4"/>
  <c r="H288" i="4"/>
  <c r="H287" i="4"/>
  <c r="H286" i="4"/>
  <c r="H285" i="4"/>
  <c r="H284" i="4"/>
  <c r="H283" i="4"/>
  <c r="H282" i="4"/>
  <c r="H253" i="4"/>
  <c r="H252" i="4"/>
  <c r="H251" i="4"/>
  <c r="H250" i="4"/>
  <c r="H249" i="4"/>
  <c r="H248" i="4"/>
  <c r="H247" i="4"/>
  <c r="H246" i="4"/>
  <c r="H245" i="4"/>
  <c r="H244" i="4"/>
  <c r="H243" i="4"/>
  <c r="H242" i="4"/>
  <c r="H241" i="4"/>
  <c r="H240" i="4"/>
  <c r="H239" i="4"/>
  <c r="H238" i="4"/>
  <c r="H237" i="4"/>
  <c r="H236" i="4"/>
  <c r="H235" i="4"/>
  <c r="H234" i="4"/>
  <c r="H205" i="4"/>
  <c r="H204" i="4"/>
  <c r="H203" i="4"/>
  <c r="H202" i="4"/>
  <c r="H201" i="4"/>
  <c r="H200" i="4"/>
  <c r="H199" i="4"/>
  <c r="H198" i="4"/>
  <c r="H197" i="4"/>
  <c r="H196" i="4"/>
  <c r="H195" i="4"/>
  <c r="H194" i="4"/>
  <c r="H193" i="4"/>
  <c r="H192" i="4"/>
  <c r="H191" i="4"/>
  <c r="H190" i="4"/>
  <c r="H189" i="4"/>
  <c r="H188" i="4"/>
  <c r="H187" i="4"/>
  <c r="H186" i="4"/>
  <c r="H180" i="4"/>
  <c r="H179" i="4"/>
  <c r="H178" i="4"/>
  <c r="H177" i="4"/>
  <c r="H176" i="4"/>
  <c r="H175" i="4"/>
  <c r="H174" i="4"/>
  <c r="H173" i="4"/>
  <c r="H172" i="4"/>
  <c r="H171" i="4"/>
  <c r="H170" i="4"/>
  <c r="H169" i="4"/>
  <c r="H168" i="4"/>
  <c r="H167" i="4"/>
  <c r="H166" i="4"/>
  <c r="H165" i="4"/>
  <c r="H164" i="4"/>
  <c r="H163" i="4"/>
  <c r="H162" i="4"/>
  <c r="H161" i="4"/>
  <c r="E181" i="4" l="1"/>
  <c r="C7" i="7" l="1"/>
  <c r="C6" i="7"/>
  <c r="C5" i="7"/>
  <c r="C4" i="7"/>
  <c r="C3" i="7"/>
  <c r="C2" i="7"/>
  <c r="P109" i="7" l="1"/>
  <c r="P108" i="7"/>
  <c r="P107" i="7"/>
  <c r="P106" i="7"/>
  <c r="P105" i="7"/>
  <c r="P103" i="7"/>
  <c r="P102" i="7"/>
  <c r="P101" i="7"/>
  <c r="P100" i="7"/>
  <c r="P99" i="7"/>
  <c r="P97" i="7"/>
  <c r="P96" i="7"/>
  <c r="P95" i="7"/>
  <c r="P94" i="7"/>
  <c r="P93" i="7"/>
  <c r="P91" i="7"/>
  <c r="P90" i="7"/>
  <c r="P89" i="7"/>
  <c r="P88" i="7"/>
  <c r="P87" i="7"/>
  <c r="P85" i="7"/>
  <c r="P84" i="7"/>
  <c r="P83" i="7"/>
  <c r="P82" i="7"/>
  <c r="P81" i="7"/>
  <c r="P79" i="7"/>
  <c r="P78" i="7"/>
  <c r="P77" i="7"/>
  <c r="P76" i="7"/>
  <c r="P75" i="7"/>
  <c r="P74" i="7"/>
  <c r="P72" i="7"/>
  <c r="P71" i="7"/>
  <c r="P70" i="7"/>
  <c r="P69" i="7"/>
  <c r="P68" i="7"/>
  <c r="P66" i="7"/>
  <c r="P65" i="7"/>
  <c r="P64" i="7"/>
  <c r="P63" i="7"/>
  <c r="P62" i="7"/>
  <c r="P60" i="7"/>
  <c r="P59" i="7"/>
  <c r="P58" i="7"/>
  <c r="P57" i="7"/>
  <c r="P56" i="7"/>
  <c r="P54" i="7"/>
  <c r="P53" i="7"/>
  <c r="P52" i="7"/>
  <c r="P51" i="7"/>
  <c r="P50" i="7"/>
  <c r="P48" i="7"/>
  <c r="P47" i="7"/>
  <c r="P46" i="7"/>
  <c r="P45" i="7"/>
  <c r="P44" i="7"/>
  <c r="P42" i="7"/>
  <c r="P41" i="7"/>
  <c r="P40" i="7"/>
  <c r="P39" i="7"/>
  <c r="P38" i="7"/>
  <c r="P36" i="7"/>
  <c r="P35" i="7"/>
  <c r="P34" i="7"/>
  <c r="P33" i="7"/>
  <c r="P32" i="7"/>
  <c r="P30" i="7"/>
  <c r="P29" i="7"/>
  <c r="P28" i="7"/>
  <c r="P27" i="7"/>
  <c r="P26" i="7"/>
  <c r="P24" i="7"/>
  <c r="P23" i="7"/>
  <c r="P22" i="7"/>
  <c r="P21" i="7"/>
  <c r="P20" i="7"/>
  <c r="P18" i="7"/>
  <c r="P17" i="7"/>
  <c r="P16" i="7"/>
  <c r="P15" i="7"/>
  <c r="P14" i="7"/>
  <c r="P12" i="7"/>
  <c r="L28" i="12" l="1"/>
  <c r="L27" i="12"/>
  <c r="L26" i="12"/>
  <c r="E95" i="12" l="1"/>
  <c r="E96" i="12"/>
  <c r="B96" i="12"/>
  <c r="B95" i="12" l="1"/>
  <c r="E117" i="12" l="1"/>
  <c r="C461" i="17" l="1"/>
  <c r="E118" i="12" l="1"/>
  <c r="N37" i="18" l="1"/>
  <c r="N38" i="18"/>
  <c r="N39" i="18"/>
  <c r="N36" i="18"/>
  <c r="F95" i="12" l="1"/>
  <c r="C95" i="12"/>
  <c r="H91" i="12"/>
  <c r="I91" i="12"/>
  <c r="H74" i="12"/>
  <c r="I74" i="12"/>
  <c r="H75" i="12"/>
  <c r="I75" i="12"/>
  <c r="H76" i="12"/>
  <c r="I76" i="12"/>
  <c r="H77" i="12"/>
  <c r="I77" i="12"/>
  <c r="H78" i="12"/>
  <c r="I78" i="12"/>
  <c r="H79" i="12"/>
  <c r="I79" i="12"/>
  <c r="H80" i="12"/>
  <c r="I80" i="12"/>
  <c r="H81" i="12"/>
  <c r="I81" i="12"/>
  <c r="H82" i="12"/>
  <c r="I82" i="12"/>
  <c r="H83" i="12"/>
  <c r="I83" i="12"/>
  <c r="H84" i="12"/>
  <c r="I84" i="12"/>
  <c r="H85" i="12"/>
  <c r="I85" i="12"/>
  <c r="H86" i="12"/>
  <c r="I86" i="12"/>
  <c r="H87" i="12"/>
  <c r="I87" i="12"/>
  <c r="H88" i="12"/>
  <c r="I88" i="12"/>
  <c r="H89" i="12"/>
  <c r="I89" i="12"/>
  <c r="H90" i="12"/>
  <c r="I90" i="12"/>
  <c r="I73" i="12"/>
  <c r="J91" i="12" l="1"/>
  <c r="J89" i="12"/>
  <c r="J86" i="12"/>
  <c r="J84" i="12"/>
  <c r="J88" i="12"/>
  <c r="J90" i="12"/>
  <c r="J87" i="12"/>
  <c r="J83" i="12"/>
  <c r="J81" i="12"/>
  <c r="I95" i="12"/>
  <c r="J77" i="12"/>
  <c r="J75" i="12"/>
  <c r="J80" i="12"/>
  <c r="J78" i="12"/>
  <c r="J76" i="12"/>
  <c r="J74" i="12"/>
  <c r="J82" i="12"/>
  <c r="J79" i="12"/>
  <c r="J85" i="12"/>
  <c r="H95" i="12"/>
  <c r="J73" i="12"/>
  <c r="H96" i="12"/>
  <c r="BD61" i="8"/>
  <c r="BJ61" i="8"/>
  <c r="J98" i="12" l="1"/>
  <c r="K98" i="12"/>
  <c r="J95" i="12"/>
  <c r="BS16" i="8"/>
  <c r="L98" i="12" l="1"/>
  <c r="AI103" i="7"/>
  <c r="Z103" i="7"/>
  <c r="Y103" i="7"/>
  <c r="AG103" i="7" s="1"/>
  <c r="AI102" i="7"/>
  <c r="Z102" i="7"/>
  <c r="Y102" i="7"/>
  <c r="AF102" i="7" s="1"/>
  <c r="AI101" i="7"/>
  <c r="Z101" i="7"/>
  <c r="Y101" i="7"/>
  <c r="AG101" i="7" s="1"/>
  <c r="AI100" i="7"/>
  <c r="Z100" i="7"/>
  <c r="Y100" i="7"/>
  <c r="AF100" i="7" s="1"/>
  <c r="AI99" i="7"/>
  <c r="Z99" i="7"/>
  <c r="Y99" i="7"/>
  <c r="AG99" i="7" s="1"/>
  <c r="AI97" i="7"/>
  <c r="Z97" i="7"/>
  <c r="Y97" i="7"/>
  <c r="AG97" i="7" s="1"/>
  <c r="AI96" i="7"/>
  <c r="Z96" i="7"/>
  <c r="Y96" i="7"/>
  <c r="AF96" i="7" s="1"/>
  <c r="AI95" i="7"/>
  <c r="Z95" i="7"/>
  <c r="Y95" i="7"/>
  <c r="AG95" i="7" s="1"/>
  <c r="AI94" i="7"/>
  <c r="Z94" i="7"/>
  <c r="Y94" i="7"/>
  <c r="AF94" i="7" s="1"/>
  <c r="AI93" i="7"/>
  <c r="Z93" i="7"/>
  <c r="Y93" i="7"/>
  <c r="AG93" i="7" s="1"/>
  <c r="AG102" i="7" l="1"/>
  <c r="AH94" i="7"/>
  <c r="AF103" i="7"/>
  <c r="AH103" i="7" s="1"/>
  <c r="AG94" i="7"/>
  <c r="AF99" i="7"/>
  <c r="AH99" i="7" s="1"/>
  <c r="AH102" i="7"/>
  <c r="AF93" i="7"/>
  <c r="AH93" i="7" s="1"/>
  <c r="AF97" i="7"/>
  <c r="AH97" i="7" s="1"/>
  <c r="AG100" i="7"/>
  <c r="AH96" i="7"/>
  <c r="AH100" i="7"/>
  <c r="AF101" i="7"/>
  <c r="AH101" i="7" s="1"/>
  <c r="AF95" i="7"/>
  <c r="AH95" i="7" s="1"/>
  <c r="AG96" i="7"/>
  <c r="J93" i="12" l="1"/>
  <c r="J92" i="12"/>
  <c r="G93" i="12"/>
  <c r="G92" i="12"/>
  <c r="G91" i="12"/>
  <c r="G90" i="12"/>
  <c r="G89" i="12"/>
  <c r="G88" i="12"/>
  <c r="G87" i="12"/>
  <c r="G86" i="12"/>
  <c r="G85" i="12"/>
  <c r="G84" i="12"/>
  <c r="G83" i="12"/>
  <c r="G82" i="12"/>
  <c r="G81" i="12"/>
  <c r="G80" i="12"/>
  <c r="G79" i="12"/>
  <c r="G78" i="12"/>
  <c r="G77" i="12"/>
  <c r="G76" i="12"/>
  <c r="G75" i="12"/>
  <c r="G74" i="12"/>
  <c r="G73" i="12"/>
  <c r="G95" i="12" l="1"/>
  <c r="M139" i="1" l="1"/>
  <c r="N139" i="1" l="1"/>
  <c r="C64" i="3"/>
  <c r="O139" i="1" l="1"/>
  <c r="E64" i="3" s="1"/>
  <c r="D64" i="3"/>
  <c r="D132" i="12"/>
  <c r="D133" i="12"/>
  <c r="D134" i="12"/>
  <c r="D135" i="12"/>
  <c r="D136" i="12"/>
  <c r="D137" i="12"/>
  <c r="B54" i="12"/>
  <c r="M189" i="1"/>
  <c r="N189" i="1" l="1"/>
  <c r="O189" i="1" s="1"/>
  <c r="C104" i="3"/>
  <c r="D104" i="3" l="1"/>
  <c r="E104" i="3"/>
  <c r="E26" i="12"/>
  <c r="F28" i="12"/>
  <c r="F27" i="12"/>
  <c r="E28" i="12"/>
  <c r="E27" i="12"/>
  <c r="E86" i="3" l="1"/>
  <c r="G28" i="12"/>
  <c r="G252" i="1" l="1"/>
  <c r="H252" i="1"/>
  <c r="I252" i="1"/>
  <c r="I251" i="1"/>
  <c r="H251" i="1"/>
  <c r="G251" i="1"/>
  <c r="I213" i="1"/>
  <c r="H213" i="1"/>
  <c r="I192" i="1"/>
  <c r="H192" i="1"/>
  <c r="G192" i="1"/>
  <c r="I174" i="1"/>
  <c r="H174" i="1"/>
  <c r="G174" i="1"/>
  <c r="I170" i="1"/>
  <c r="H170" i="1"/>
  <c r="G170" i="1"/>
  <c r="G141" i="1"/>
  <c r="H141" i="1"/>
  <c r="I141" i="1"/>
  <c r="G142" i="1"/>
  <c r="H142" i="1"/>
  <c r="I142" i="1"/>
  <c r="I140" i="1"/>
  <c r="H140" i="1"/>
  <c r="G140" i="1"/>
  <c r="I136" i="1"/>
  <c r="H136" i="1"/>
  <c r="G136" i="1"/>
  <c r="I109" i="1"/>
  <c r="H109" i="1"/>
  <c r="G109" i="1"/>
  <c r="I80" i="1"/>
  <c r="H80" i="1"/>
  <c r="G80" i="1"/>
  <c r="G70" i="1"/>
  <c r="G26" i="10"/>
  <c r="I63" i="1"/>
  <c r="H63" i="1"/>
  <c r="B437" i="17" l="1"/>
  <c r="B427" i="17"/>
  <c r="AI146" i="7"/>
  <c r="AI145" i="7"/>
  <c r="AI144" i="7"/>
  <c r="AI143" i="7"/>
  <c r="AI142" i="7"/>
  <c r="AI140" i="7"/>
  <c r="AI139" i="7"/>
  <c r="AI138" i="7"/>
  <c r="AI137" i="7"/>
  <c r="AI136" i="7"/>
  <c r="AI135" i="7"/>
  <c r="AI133" i="7"/>
  <c r="AI132" i="7"/>
  <c r="AI131" i="7"/>
  <c r="AI130" i="7"/>
  <c r="AI129" i="7"/>
  <c r="AI127" i="7"/>
  <c r="AI126" i="7"/>
  <c r="AI125" i="7"/>
  <c r="AI124" i="7"/>
  <c r="AI123" i="7"/>
  <c r="AI121" i="7"/>
  <c r="AI120" i="7"/>
  <c r="AI119" i="7"/>
  <c r="AI118" i="7"/>
  <c r="AI117" i="7"/>
  <c r="AI115" i="7"/>
  <c r="AI114" i="7"/>
  <c r="AI113" i="7"/>
  <c r="AI112" i="7"/>
  <c r="AI111" i="7"/>
  <c r="AI109" i="7"/>
  <c r="AI108" i="7"/>
  <c r="AI107" i="7"/>
  <c r="AI106" i="7"/>
  <c r="AI105" i="7"/>
  <c r="AI91" i="7"/>
  <c r="AI90" i="7"/>
  <c r="AI89" i="7"/>
  <c r="AI88" i="7"/>
  <c r="AI87" i="7"/>
  <c r="AI85" i="7"/>
  <c r="AI84" i="7"/>
  <c r="AI83" i="7"/>
  <c r="AI82" i="7"/>
  <c r="AI81" i="7"/>
  <c r="AI79" i="7"/>
  <c r="AI78" i="7"/>
  <c r="AI77" i="7"/>
  <c r="AI76" i="7"/>
  <c r="AI75" i="7"/>
  <c r="AI74" i="7"/>
  <c r="AI72" i="7"/>
  <c r="AI71" i="7"/>
  <c r="AI70" i="7"/>
  <c r="AI69" i="7"/>
  <c r="AI68" i="7"/>
  <c r="AI66" i="7"/>
  <c r="AI65" i="7"/>
  <c r="AI64" i="7"/>
  <c r="AI63" i="7"/>
  <c r="AI62" i="7"/>
  <c r="AI60" i="7"/>
  <c r="AI59" i="7"/>
  <c r="AI58" i="7"/>
  <c r="AI57" i="7"/>
  <c r="AI56" i="7"/>
  <c r="AI54" i="7"/>
  <c r="AI53" i="7"/>
  <c r="AI52" i="7"/>
  <c r="AI51" i="7"/>
  <c r="AI50" i="7"/>
  <c r="AI48" i="7"/>
  <c r="AI47" i="7"/>
  <c r="AI46" i="7"/>
  <c r="AI45" i="7"/>
  <c r="AI44" i="7"/>
  <c r="AI42" i="7"/>
  <c r="AI41" i="7"/>
  <c r="AI40" i="7"/>
  <c r="AI39" i="7"/>
  <c r="AI38" i="7"/>
  <c r="AI36" i="7"/>
  <c r="AI35" i="7"/>
  <c r="AI34" i="7"/>
  <c r="AI33" i="7"/>
  <c r="AI32" i="7"/>
  <c r="AI30" i="7"/>
  <c r="AI29" i="7"/>
  <c r="AI28" i="7"/>
  <c r="AI27" i="7"/>
  <c r="AI26" i="7"/>
  <c r="AI24" i="7"/>
  <c r="AI23" i="7"/>
  <c r="AI22" i="7"/>
  <c r="AI21" i="7"/>
  <c r="AI20" i="7"/>
  <c r="AI18" i="7"/>
  <c r="AI17" i="7"/>
  <c r="AI16" i="7"/>
  <c r="AI15" i="7"/>
  <c r="AI14" i="7"/>
  <c r="AI12" i="7"/>
  <c r="Y146" i="7"/>
  <c r="AF146" i="7" s="1"/>
  <c r="Y145" i="7"/>
  <c r="AF145" i="7" s="1"/>
  <c r="Y144" i="7"/>
  <c r="AF144" i="7" s="1"/>
  <c r="Y143" i="7"/>
  <c r="AF143" i="7" s="1"/>
  <c r="Y142" i="7"/>
  <c r="AF142" i="7" s="1"/>
  <c r="Y140" i="7"/>
  <c r="AG140" i="7" s="1"/>
  <c r="Y139" i="7"/>
  <c r="AG139" i="7" s="1"/>
  <c r="Y138" i="7"/>
  <c r="AG138" i="7" s="1"/>
  <c r="Y137" i="7"/>
  <c r="AG137" i="7" s="1"/>
  <c r="Y136" i="7"/>
  <c r="AG136" i="7" s="1"/>
  <c r="Y135" i="7"/>
  <c r="AG135" i="7" s="1"/>
  <c r="Y133" i="7"/>
  <c r="AG133" i="7" s="1"/>
  <c r="Y132" i="7"/>
  <c r="AG132" i="7" s="1"/>
  <c r="Y131" i="7"/>
  <c r="AG131" i="7" s="1"/>
  <c r="Y130" i="7"/>
  <c r="AG130" i="7" s="1"/>
  <c r="Y129" i="7"/>
  <c r="AG129" i="7" s="1"/>
  <c r="Y127" i="7"/>
  <c r="AG127" i="7" s="1"/>
  <c r="Y126" i="7"/>
  <c r="AG126" i="7" s="1"/>
  <c r="Y125" i="7"/>
  <c r="AG125" i="7" s="1"/>
  <c r="Y124" i="7"/>
  <c r="AG124" i="7" s="1"/>
  <c r="Y123" i="7"/>
  <c r="AG123" i="7" s="1"/>
  <c r="Y121" i="7"/>
  <c r="AG121" i="7" s="1"/>
  <c r="Y120" i="7"/>
  <c r="AG120" i="7" s="1"/>
  <c r="Y119" i="7"/>
  <c r="AG119" i="7" s="1"/>
  <c r="Y118" i="7"/>
  <c r="AG118" i="7" s="1"/>
  <c r="Y117" i="7"/>
  <c r="AG117" i="7" s="1"/>
  <c r="Y115" i="7"/>
  <c r="AG115" i="7" s="1"/>
  <c r="Y114" i="7"/>
  <c r="AG114" i="7" s="1"/>
  <c r="Y113" i="7"/>
  <c r="AG113" i="7" s="1"/>
  <c r="Y112" i="7"/>
  <c r="AG112" i="7" s="1"/>
  <c r="Y111" i="7"/>
  <c r="AG111" i="7" s="1"/>
  <c r="Z109" i="7"/>
  <c r="Y109" i="7"/>
  <c r="AF109" i="7" s="1"/>
  <c r="Z108" i="7"/>
  <c r="Y108" i="7"/>
  <c r="Z107" i="7"/>
  <c r="Y107" i="7"/>
  <c r="AF107" i="7" s="1"/>
  <c r="Z106" i="7"/>
  <c r="Y106" i="7"/>
  <c r="Z105" i="7"/>
  <c r="Y105" i="7"/>
  <c r="AF105" i="7" s="1"/>
  <c r="Z91" i="7"/>
  <c r="Y91" i="7"/>
  <c r="Z90" i="7"/>
  <c r="Y90" i="7"/>
  <c r="AF90" i="7" s="1"/>
  <c r="Z89" i="7"/>
  <c r="Y89" i="7"/>
  <c r="Z88" i="7"/>
  <c r="Y88" i="7"/>
  <c r="AF88" i="7" s="1"/>
  <c r="Z87" i="7"/>
  <c r="Y87" i="7"/>
  <c r="Z85" i="7"/>
  <c r="Y85" i="7"/>
  <c r="AF85" i="7" s="1"/>
  <c r="Z84" i="7"/>
  <c r="Y84" i="7"/>
  <c r="Z83" i="7"/>
  <c r="Y83" i="7"/>
  <c r="AF83" i="7" s="1"/>
  <c r="Z82" i="7"/>
  <c r="Y82" i="7"/>
  <c r="Z81" i="7"/>
  <c r="Y81" i="7"/>
  <c r="AF81" i="7" s="1"/>
  <c r="Z79" i="7"/>
  <c r="Y79" i="7"/>
  <c r="AF79" i="7" s="1"/>
  <c r="Z78" i="7"/>
  <c r="Y78" i="7"/>
  <c r="Z77" i="7"/>
  <c r="Y77" i="7"/>
  <c r="AF77" i="7" s="1"/>
  <c r="Z76" i="7"/>
  <c r="Y76" i="7"/>
  <c r="Z75" i="7"/>
  <c r="Y75" i="7"/>
  <c r="AF75" i="7" s="1"/>
  <c r="Z74" i="7"/>
  <c r="Y74" i="7"/>
  <c r="Z72" i="7"/>
  <c r="Y72" i="7"/>
  <c r="AF72" i="7" s="1"/>
  <c r="Z71" i="7"/>
  <c r="Y71" i="7"/>
  <c r="AG71" i="7" s="1"/>
  <c r="Z70" i="7"/>
  <c r="Y70" i="7"/>
  <c r="AF70" i="7" s="1"/>
  <c r="Z69" i="7"/>
  <c r="Y69" i="7"/>
  <c r="AG69" i="7" s="1"/>
  <c r="Z68" i="7"/>
  <c r="Y68" i="7"/>
  <c r="AF68" i="7" s="1"/>
  <c r="Z66" i="7"/>
  <c r="Y66" i="7"/>
  <c r="AG66" i="7" s="1"/>
  <c r="Z65" i="7"/>
  <c r="Y65" i="7"/>
  <c r="AF65" i="7" s="1"/>
  <c r="Z64" i="7"/>
  <c r="Y64" i="7"/>
  <c r="AG64" i="7" s="1"/>
  <c r="Z63" i="7"/>
  <c r="Y63" i="7"/>
  <c r="Z62" i="7"/>
  <c r="Y62" i="7"/>
  <c r="AF62" i="7" s="1"/>
  <c r="Z60" i="7"/>
  <c r="Y60" i="7"/>
  <c r="Z59" i="7"/>
  <c r="Y59" i="7"/>
  <c r="AF59" i="7" s="1"/>
  <c r="Z58" i="7"/>
  <c r="Y58" i="7"/>
  <c r="Z57" i="7"/>
  <c r="Y57" i="7"/>
  <c r="AF57" i="7" s="1"/>
  <c r="Z56" i="7"/>
  <c r="Y56" i="7"/>
  <c r="Z54" i="7"/>
  <c r="Y54" i="7"/>
  <c r="AF54" i="7" s="1"/>
  <c r="Z53" i="7"/>
  <c r="Y53" i="7"/>
  <c r="Z52" i="7"/>
  <c r="Y52" i="7"/>
  <c r="AF52" i="7" s="1"/>
  <c r="Z51" i="7"/>
  <c r="Y51" i="7"/>
  <c r="Z50" i="7"/>
  <c r="Y50" i="7"/>
  <c r="AF50" i="7" s="1"/>
  <c r="Z48" i="7"/>
  <c r="Y48" i="7"/>
  <c r="Z47" i="7"/>
  <c r="Y47" i="7"/>
  <c r="AF47" i="7" s="1"/>
  <c r="Z46" i="7"/>
  <c r="Y46" i="7"/>
  <c r="Z45" i="7"/>
  <c r="Y45" i="7"/>
  <c r="AF45" i="7" s="1"/>
  <c r="Z44" i="7"/>
  <c r="Y44" i="7"/>
  <c r="Z42" i="7"/>
  <c r="Y42" i="7"/>
  <c r="AF42" i="7" s="1"/>
  <c r="Z41" i="7"/>
  <c r="Y41" i="7"/>
  <c r="Z40" i="7"/>
  <c r="Y40" i="7"/>
  <c r="AF40" i="7" s="1"/>
  <c r="Z39" i="7"/>
  <c r="Y39" i="7"/>
  <c r="Z38" i="7"/>
  <c r="Y38" i="7"/>
  <c r="AF38" i="7" s="1"/>
  <c r="Z36" i="7"/>
  <c r="Y36" i="7"/>
  <c r="Z35" i="7"/>
  <c r="Y35" i="7"/>
  <c r="AF35" i="7" s="1"/>
  <c r="Z34" i="7"/>
  <c r="Y34" i="7"/>
  <c r="Z33" i="7"/>
  <c r="Y33" i="7"/>
  <c r="AF33" i="7" s="1"/>
  <c r="Z32" i="7"/>
  <c r="Y32" i="7"/>
  <c r="Z30" i="7"/>
  <c r="Y30" i="7"/>
  <c r="Z29" i="7"/>
  <c r="Y29" i="7"/>
  <c r="AF29" i="7" s="1"/>
  <c r="Z28" i="7"/>
  <c r="Y28" i="7"/>
  <c r="Z27" i="7"/>
  <c r="Y27" i="7"/>
  <c r="AF27" i="7" s="1"/>
  <c r="Z26" i="7"/>
  <c r="Y26" i="7"/>
  <c r="Z24" i="7"/>
  <c r="Y24" i="7"/>
  <c r="AF24" i="7" s="1"/>
  <c r="Z23" i="7"/>
  <c r="Y23" i="7"/>
  <c r="Z22" i="7"/>
  <c r="Y22" i="7"/>
  <c r="AF22" i="7" s="1"/>
  <c r="Z21" i="7"/>
  <c r="Y21" i="7"/>
  <c r="Z20" i="7"/>
  <c r="Y20" i="7"/>
  <c r="AF20" i="7" s="1"/>
  <c r="Z18" i="7"/>
  <c r="Y18" i="7"/>
  <c r="AF18" i="7" s="1"/>
  <c r="Z17" i="7"/>
  <c r="Y17" i="7"/>
  <c r="AF17" i="7" s="1"/>
  <c r="Z16" i="7"/>
  <c r="Y16" i="7"/>
  <c r="AF16" i="7" s="1"/>
  <c r="Z15" i="7"/>
  <c r="Y15" i="7"/>
  <c r="AF15" i="7" s="1"/>
  <c r="Z14" i="7"/>
  <c r="Y14" i="7"/>
  <c r="AF14" i="7" s="1"/>
  <c r="Z12" i="7"/>
  <c r="Y12" i="7"/>
  <c r="AF12" i="7" s="1"/>
  <c r="AF135" i="7" l="1"/>
  <c r="AF115" i="7"/>
  <c r="AF125" i="7"/>
  <c r="AF111" i="7"/>
  <c r="AF120" i="7"/>
  <c r="AF130" i="7"/>
  <c r="AF139" i="7"/>
  <c r="AH33" i="7"/>
  <c r="AH38" i="7"/>
  <c r="AH42" i="7"/>
  <c r="AH47" i="7"/>
  <c r="AH52" i="7"/>
  <c r="AH57" i="7"/>
  <c r="AH62" i="7"/>
  <c r="AH77" i="7"/>
  <c r="AH81" i="7"/>
  <c r="AH85" i="7"/>
  <c r="AH90" i="7"/>
  <c r="AH105" i="7"/>
  <c r="AH109" i="7"/>
  <c r="AF113" i="7"/>
  <c r="AF118" i="7"/>
  <c r="AF123" i="7"/>
  <c r="AF127" i="7"/>
  <c r="AF132" i="7"/>
  <c r="AF137" i="7"/>
  <c r="AG15" i="7"/>
  <c r="AG20" i="7"/>
  <c r="AG24" i="7"/>
  <c r="AG29" i="7"/>
  <c r="AG35" i="7"/>
  <c r="AG12" i="7"/>
  <c r="AH15" i="7"/>
  <c r="AG17" i="7"/>
  <c r="AH20" i="7"/>
  <c r="AG22" i="7"/>
  <c r="AH24" i="7"/>
  <c r="AG27" i="7"/>
  <c r="AH29" i="7"/>
  <c r="AG33" i="7"/>
  <c r="AG38" i="7"/>
  <c r="AG42" i="7"/>
  <c r="AG47" i="7"/>
  <c r="AG52" i="7"/>
  <c r="AG57" i="7"/>
  <c r="AG62" i="7"/>
  <c r="AH65" i="7"/>
  <c r="AG68" i="7"/>
  <c r="AH70" i="7"/>
  <c r="AG72" i="7"/>
  <c r="AG77" i="7"/>
  <c r="AG81" i="7"/>
  <c r="AG85" i="7"/>
  <c r="AG90" i="7"/>
  <c r="AG105" i="7"/>
  <c r="AG109" i="7"/>
  <c r="AF112" i="7"/>
  <c r="AF114" i="7"/>
  <c r="AF117" i="7"/>
  <c r="AF119" i="7"/>
  <c r="AF121" i="7"/>
  <c r="AF124" i="7"/>
  <c r="AF126" i="7"/>
  <c r="AF129" i="7"/>
  <c r="AF131" i="7"/>
  <c r="AF133" i="7"/>
  <c r="AF136" i="7"/>
  <c r="AF138" i="7"/>
  <c r="AF140" i="7"/>
  <c r="AG40" i="7"/>
  <c r="AG45" i="7"/>
  <c r="AG50" i="7"/>
  <c r="AG54" i="7"/>
  <c r="AG59" i="7"/>
  <c r="AG65" i="7"/>
  <c r="AG70" i="7"/>
  <c r="AG75" i="7"/>
  <c r="AG79" i="7"/>
  <c r="AG83" i="7"/>
  <c r="AG88" i="7"/>
  <c r="AG107" i="7"/>
  <c r="AH12" i="7"/>
  <c r="AH17" i="7"/>
  <c r="AH22" i="7"/>
  <c r="AH27" i="7"/>
  <c r="AH35" i="7"/>
  <c r="AH40" i="7"/>
  <c r="AH45" i="7"/>
  <c r="AH50" i="7"/>
  <c r="AH54" i="7"/>
  <c r="AH59" i="7"/>
  <c r="AH14" i="7"/>
  <c r="AH16" i="7"/>
  <c r="AH18" i="7"/>
  <c r="AF21" i="7"/>
  <c r="AH21" i="7" s="1"/>
  <c r="AG14" i="7"/>
  <c r="AG16" i="7"/>
  <c r="AG18" i="7"/>
  <c r="AG21" i="7"/>
  <c r="AG23" i="7"/>
  <c r="AG26" i="7"/>
  <c r="AG28" i="7"/>
  <c r="AG30" i="7"/>
  <c r="AG32" i="7"/>
  <c r="AG34" i="7"/>
  <c r="AG36" i="7"/>
  <c r="AG39" i="7"/>
  <c r="AG41" i="7"/>
  <c r="AG44" i="7"/>
  <c r="AG46" i="7"/>
  <c r="AG48" i="7"/>
  <c r="AG51" i="7"/>
  <c r="AG53" i="7"/>
  <c r="AG56" i="7"/>
  <c r="AG58" i="7"/>
  <c r="AG60" i="7"/>
  <c r="AG63" i="7"/>
  <c r="AF64" i="7"/>
  <c r="AH64" i="7" s="1"/>
  <c r="AH68" i="7"/>
  <c r="AF69" i="7"/>
  <c r="AH69" i="7" s="1"/>
  <c r="AH72" i="7"/>
  <c r="AG74" i="7"/>
  <c r="AF74" i="7"/>
  <c r="AH74" i="7" s="1"/>
  <c r="AH75" i="7"/>
  <c r="AH79" i="7"/>
  <c r="AH83" i="7"/>
  <c r="AH88" i="7"/>
  <c r="AH107" i="7"/>
  <c r="AF23" i="7"/>
  <c r="AH23" i="7" s="1"/>
  <c r="AF26" i="7"/>
  <c r="AH26" i="7" s="1"/>
  <c r="AF28" i="7"/>
  <c r="AH28" i="7" s="1"/>
  <c r="AF30" i="7"/>
  <c r="AH30" i="7" s="1"/>
  <c r="AF32" i="7"/>
  <c r="AH32" i="7" s="1"/>
  <c r="AF34" i="7"/>
  <c r="AH34" i="7" s="1"/>
  <c r="AF36" i="7"/>
  <c r="AH36" i="7" s="1"/>
  <c r="AF39" i="7"/>
  <c r="AH39" i="7" s="1"/>
  <c r="AF41" i="7"/>
  <c r="AH41" i="7" s="1"/>
  <c r="AF44" i="7"/>
  <c r="AH44" i="7" s="1"/>
  <c r="AF46" i="7"/>
  <c r="AH46" i="7" s="1"/>
  <c r="AF48" i="7"/>
  <c r="AH48" i="7" s="1"/>
  <c r="AF51" i="7"/>
  <c r="AH51" i="7" s="1"/>
  <c r="AF53" i="7"/>
  <c r="AH53" i="7" s="1"/>
  <c r="AF56" i="7"/>
  <c r="AH56" i="7" s="1"/>
  <c r="AF58" i="7"/>
  <c r="AH58" i="7" s="1"/>
  <c r="AF60" i="7"/>
  <c r="AH60" i="7" s="1"/>
  <c r="AF63" i="7"/>
  <c r="AH63" i="7" s="1"/>
  <c r="AF66" i="7"/>
  <c r="AH66" i="7" s="1"/>
  <c r="AF71" i="7"/>
  <c r="AH71" i="7" s="1"/>
  <c r="AG76" i="7"/>
  <c r="AG78" i="7"/>
  <c r="AG82" i="7"/>
  <c r="AG84" i="7"/>
  <c r="AG87" i="7"/>
  <c r="AG89" i="7"/>
  <c r="AG91" i="7"/>
  <c r="AG106" i="7"/>
  <c r="AG108" i="7"/>
  <c r="AG142" i="7"/>
  <c r="AG143" i="7"/>
  <c r="AG144" i="7"/>
  <c r="AG145" i="7"/>
  <c r="AG146" i="7"/>
  <c r="AF76" i="7"/>
  <c r="AH76" i="7" s="1"/>
  <c r="AF78" i="7"/>
  <c r="AH78" i="7" s="1"/>
  <c r="AF82" i="7"/>
  <c r="AH82" i="7" s="1"/>
  <c r="AF84" i="7"/>
  <c r="AH84" i="7" s="1"/>
  <c r="AF87" i="7"/>
  <c r="AH87" i="7" s="1"/>
  <c r="AF89" i="7"/>
  <c r="AH89" i="7" s="1"/>
  <c r="AF91" i="7"/>
  <c r="AH91" i="7" s="1"/>
  <c r="AF106" i="7"/>
  <c r="AH106" i="7" s="1"/>
  <c r="AF108" i="7"/>
  <c r="AH108" i="7" s="1"/>
  <c r="E32" i="12" l="1"/>
  <c r="E33" i="12"/>
  <c r="E34" i="12"/>
  <c r="E31" i="12"/>
  <c r="B6" i="13" l="1"/>
  <c r="B6" i="19" l="1"/>
  <c r="B15" i="19"/>
  <c r="B6" i="18"/>
  <c r="A73" i="18" l="1"/>
  <c r="B6" i="16"/>
  <c r="B7" i="14" l="1"/>
  <c r="I24" i="13"/>
  <c r="I25" i="13"/>
  <c r="I26" i="13"/>
  <c r="I27" i="13"/>
  <c r="I28" i="13"/>
  <c r="I29" i="13"/>
  <c r="I30" i="13"/>
  <c r="B3" i="13" l="1"/>
  <c r="B44" i="12"/>
  <c r="F18" i="12"/>
  <c r="K73" i="12" s="1"/>
  <c r="K24" i="12"/>
  <c r="E29" i="12"/>
  <c r="K29" i="12" s="1"/>
  <c r="K33" i="12"/>
  <c r="K31" i="12"/>
  <c r="E19" i="12"/>
  <c r="K19" i="12" s="1"/>
  <c r="E18" i="12"/>
  <c r="K18" i="12" s="1"/>
  <c r="G18" i="12" l="1"/>
  <c r="B4" i="11"/>
  <c r="B3" i="10" l="1"/>
  <c r="B4" i="10"/>
  <c r="B6" i="10"/>
  <c r="B5" i="10" l="1"/>
  <c r="I23" i="13" l="1"/>
  <c r="I32" i="13" l="1"/>
  <c r="B3" i="18" l="1"/>
  <c r="C3" i="9" l="1"/>
  <c r="D4" i="3" l="1"/>
  <c r="L81" i="1" l="1"/>
  <c r="F207" i="4" l="1"/>
  <c r="F206" i="4"/>
  <c r="E207" i="4"/>
  <c r="F182" i="4"/>
  <c r="E182" i="4"/>
  <c r="F181" i="4"/>
  <c r="A459" i="17" l="1"/>
  <c r="C433" i="17" l="1"/>
  <c r="M60" i="1" l="1"/>
  <c r="C268" i="17"/>
  <c r="N60" i="1" l="1"/>
  <c r="D30" i="3" s="1"/>
  <c r="C30" i="3"/>
  <c r="K64" i="1"/>
  <c r="O60" i="1" l="1"/>
  <c r="E30" i="3" s="1"/>
  <c r="C6" i="21"/>
  <c r="C282" i="17" l="1"/>
  <c r="A402" i="17" l="1"/>
  <c r="A300" i="17" l="1"/>
  <c r="A302" i="17" s="1"/>
  <c r="A303" i="17" s="1"/>
  <c r="C299" i="17"/>
  <c r="A289" i="17"/>
  <c r="A290" i="17"/>
  <c r="A291" i="17"/>
  <c r="A295" i="17" s="1"/>
  <c r="A296" i="17" s="1"/>
  <c r="C288" i="17"/>
  <c r="C407" i="17"/>
  <c r="A293" i="17" l="1"/>
  <c r="C294" i="17" s="1"/>
  <c r="C301" i="17"/>
  <c r="C292" i="17"/>
  <c r="A270" i="17"/>
  <c r="A262" i="17"/>
  <c r="A263" i="17" l="1"/>
  <c r="A271" i="17"/>
  <c r="A272" i="17" s="1"/>
  <c r="C276" i="17" l="1"/>
  <c r="A264" i="17"/>
  <c r="D3" i="3"/>
  <c r="D5" i="3"/>
  <c r="D6" i="3"/>
  <c r="D2" i="3"/>
  <c r="C3" i="4"/>
  <c r="C4" i="4"/>
  <c r="C5" i="4"/>
  <c r="C6" i="4"/>
  <c r="C2" i="4"/>
  <c r="B121" i="3"/>
  <c r="B122" i="3"/>
  <c r="B124" i="3"/>
  <c r="B126" i="3"/>
  <c r="B127" i="3"/>
  <c r="B128" i="3"/>
  <c r="B110" i="3"/>
  <c r="B119" i="3"/>
  <c r="B101" i="3"/>
  <c r="B102" i="3"/>
  <c r="B103" i="3"/>
  <c r="B105" i="3"/>
  <c r="B106" i="3"/>
  <c r="B108" i="3"/>
  <c r="B90" i="3"/>
  <c r="B92" i="3"/>
  <c r="B93" i="3"/>
  <c r="B94" i="3"/>
  <c r="B95" i="3"/>
  <c r="B74" i="3"/>
  <c r="B75" i="3"/>
  <c r="B76" i="3"/>
  <c r="B77" i="3"/>
  <c r="B83" i="3"/>
  <c r="B87" i="3"/>
  <c r="B88" i="3"/>
  <c r="B58" i="3"/>
  <c r="B60" i="3"/>
  <c r="B61" i="3"/>
  <c r="B62" i="3"/>
  <c r="B68" i="3"/>
  <c r="B69" i="3"/>
  <c r="B70" i="3"/>
  <c r="B72" i="3"/>
  <c r="B73" i="3"/>
  <c r="B53" i="3"/>
  <c r="B56" i="3"/>
  <c r="B57" i="3"/>
  <c r="B48" i="3"/>
  <c r="B49" i="3"/>
  <c r="B50" i="3"/>
  <c r="B51" i="3"/>
  <c r="B52" i="3"/>
  <c r="B41" i="3"/>
  <c r="B42" i="3"/>
  <c r="B43" i="3"/>
  <c r="B44" i="3"/>
  <c r="B45" i="3"/>
  <c r="B46" i="3"/>
  <c r="B47" i="3"/>
  <c r="B36" i="3"/>
  <c r="B37" i="3"/>
  <c r="B38" i="3"/>
  <c r="B39" i="3"/>
  <c r="B16" i="3"/>
  <c r="B17" i="3"/>
  <c r="B18" i="3"/>
  <c r="B19" i="3"/>
  <c r="B20" i="3"/>
  <c r="B21" i="3"/>
  <c r="B22" i="3"/>
  <c r="B23" i="3"/>
  <c r="B24" i="3"/>
  <c r="B25" i="3"/>
  <c r="B26" i="3"/>
  <c r="B27" i="3"/>
  <c r="B28" i="3"/>
  <c r="B29" i="3"/>
  <c r="B31" i="3"/>
  <c r="B32" i="3"/>
  <c r="B15" i="3"/>
  <c r="A266" i="17" l="1"/>
  <c r="C169" i="17"/>
  <c r="G264" i="4" l="1"/>
  <c r="H264" i="4" s="1"/>
  <c r="G277" i="4"/>
  <c r="H277" i="4" s="1"/>
  <c r="G276" i="4"/>
  <c r="H276" i="4" s="1"/>
  <c r="G275" i="4"/>
  <c r="H275" i="4" s="1"/>
  <c r="G274" i="4"/>
  <c r="H274" i="4" s="1"/>
  <c r="G273" i="4"/>
  <c r="H273" i="4" s="1"/>
  <c r="G272" i="4"/>
  <c r="H272" i="4" s="1"/>
  <c r="G271" i="4"/>
  <c r="H271" i="4" s="1"/>
  <c r="G270" i="4"/>
  <c r="H270" i="4" s="1"/>
  <c r="G269" i="4"/>
  <c r="H269" i="4" s="1"/>
  <c r="G268" i="4"/>
  <c r="H268" i="4" s="1"/>
  <c r="G267" i="4"/>
  <c r="H267" i="4" s="1"/>
  <c r="G266" i="4"/>
  <c r="H266" i="4" s="1"/>
  <c r="G265" i="4"/>
  <c r="H265" i="4" s="1"/>
  <c r="G263" i="4"/>
  <c r="H263" i="4" s="1"/>
  <c r="G262" i="4"/>
  <c r="H262" i="4" s="1"/>
  <c r="G261" i="4"/>
  <c r="H261" i="4" s="1"/>
  <c r="G260" i="4"/>
  <c r="H260" i="4" s="1"/>
  <c r="G259" i="4"/>
  <c r="H259" i="4" s="1"/>
  <c r="G258" i="4"/>
  <c r="H258" i="4" s="1"/>
  <c r="D1" i="3" l="1"/>
  <c r="C1" i="4"/>
  <c r="E49" i="10" l="1"/>
  <c r="G218" i="4" l="1"/>
  <c r="G229" i="4" l="1"/>
  <c r="H229" i="4" s="1"/>
  <c r="G228" i="4"/>
  <c r="H228" i="4" s="1"/>
  <c r="G227" i="4"/>
  <c r="H227" i="4" s="1"/>
  <c r="G226" i="4"/>
  <c r="H226" i="4" s="1"/>
  <c r="G225" i="4"/>
  <c r="H225" i="4" s="1"/>
  <c r="G224" i="4"/>
  <c r="H224" i="4" s="1"/>
  <c r="G223" i="4"/>
  <c r="H223" i="4" s="1"/>
  <c r="G222" i="4"/>
  <c r="H222" i="4" s="1"/>
  <c r="G221" i="4"/>
  <c r="H221" i="4" s="1"/>
  <c r="G220" i="4"/>
  <c r="H220" i="4" s="1"/>
  <c r="G219" i="4"/>
  <c r="H219" i="4" s="1"/>
  <c r="H218" i="4"/>
  <c r="G217" i="4"/>
  <c r="H217" i="4" s="1"/>
  <c r="G216" i="4"/>
  <c r="H216" i="4" s="1"/>
  <c r="G215" i="4"/>
  <c r="H215" i="4" s="1"/>
  <c r="G214" i="4"/>
  <c r="H214" i="4" s="1"/>
  <c r="G213" i="4"/>
  <c r="H213" i="4" s="1"/>
  <c r="G212" i="4"/>
  <c r="H212" i="4" s="1"/>
  <c r="G211" i="4"/>
  <c r="H211" i="4" s="1"/>
  <c r="G210" i="4"/>
  <c r="H210" i="4" s="1"/>
  <c r="A403" i="17" l="1"/>
  <c r="A183" i="17" l="1"/>
  <c r="A186" i="17"/>
  <c r="A180" i="17"/>
  <c r="A177" i="17"/>
  <c r="C122" i="17"/>
  <c r="A106" i="17"/>
  <c r="C113" i="17"/>
  <c r="C102" i="17"/>
  <c r="C97" i="17"/>
  <c r="C92" i="17"/>
  <c r="C87" i="17"/>
  <c r="G44" i="10"/>
  <c r="C107" i="17" l="1"/>
  <c r="A162" i="17"/>
  <c r="A152" i="17"/>
  <c r="A154" i="17" s="1"/>
  <c r="C155" i="17" s="1"/>
  <c r="A156" i="17"/>
  <c r="C157" i="17" s="1"/>
  <c r="A150" i="17"/>
  <c r="C151" i="17" s="1"/>
  <c r="A131" i="17"/>
  <c r="C132" i="17" s="1"/>
  <c r="A158" i="17"/>
  <c r="C159" i="17" s="1"/>
  <c r="C153" i="17" l="1"/>
  <c r="C445" i="17" l="1"/>
  <c r="F71" i="9" l="1"/>
  <c r="M142" i="1"/>
  <c r="C67" i="3" l="1"/>
  <c r="F312" i="17" l="1"/>
  <c r="B438" i="17" l="1"/>
  <c r="C440" i="17" s="1"/>
  <c r="B426" i="17"/>
  <c r="B428" i="17" l="1"/>
  <c r="C430" i="17" s="1"/>
  <c r="H75" i="4"/>
  <c r="I76" i="4" s="1"/>
  <c r="H46" i="4"/>
  <c r="I47" i="4" s="1"/>
  <c r="A274" i="17" l="1"/>
  <c r="A405" i="17"/>
  <c r="A404" i="17"/>
  <c r="D48" i="10" l="1"/>
  <c r="D47" i="10"/>
  <c r="D46" i="10"/>
  <c r="G47" i="10"/>
  <c r="G48" i="10"/>
  <c r="G46" i="10"/>
  <c r="G45" i="10"/>
  <c r="J22" i="11" l="1"/>
  <c r="G22" i="11"/>
  <c r="D22" i="11"/>
  <c r="K81" i="1"/>
  <c r="B385" i="17"/>
  <c r="G159" i="10" l="1"/>
  <c r="G160" i="10"/>
  <c r="N142" i="1"/>
  <c r="O142" i="1" l="1"/>
  <c r="E67" i="3" s="1"/>
  <c r="D67" i="3"/>
  <c r="H103" i="4"/>
  <c r="D44" i="10"/>
  <c r="K153" i="1"/>
  <c r="C51" i="19" l="1"/>
  <c r="B393" i="17"/>
  <c r="A160" i="17" l="1"/>
  <c r="C161" i="17" s="1"/>
  <c r="A136" i="17"/>
  <c r="C137" i="17" s="1"/>
  <c r="A96" i="18"/>
  <c r="E45" i="10" l="1"/>
  <c r="E46" i="10"/>
  <c r="E47" i="10"/>
  <c r="E48" i="10"/>
  <c r="E44" i="10"/>
  <c r="D45" i="10"/>
  <c r="A239" i="17" l="1"/>
  <c r="D50" i="10" l="1"/>
  <c r="D49" i="10"/>
  <c r="D40" i="10"/>
  <c r="B339" i="17" l="1"/>
  <c r="B369" i="17" s="1"/>
  <c r="B310" i="17"/>
  <c r="B337" i="17" s="1"/>
  <c r="A11" i="17"/>
  <c r="C59" i="19"/>
  <c r="A8" i="18" l="1"/>
  <c r="A13" i="16"/>
  <c r="A13" i="15" l="1"/>
  <c r="A10" i="14" l="1"/>
  <c r="A9" i="13"/>
  <c r="A13" i="12"/>
  <c r="J278" i="11"/>
  <c r="A10" i="11" l="1"/>
  <c r="A14" i="10"/>
  <c r="A27" i="4" l="1"/>
  <c r="D81" i="10"/>
  <c r="M58" i="1" l="1"/>
  <c r="N58" i="1" l="1"/>
  <c r="D28" i="3" s="1"/>
  <c r="C28" i="3"/>
  <c r="L18" i="12"/>
  <c r="O58" i="1" l="1"/>
  <c r="E28" i="3" s="1"/>
  <c r="D92" i="12"/>
  <c r="BS12" i="8"/>
  <c r="B2" i="12" l="1"/>
  <c r="C1" i="20"/>
  <c r="M42" i="1"/>
  <c r="L51" i="1"/>
  <c r="M61" i="1"/>
  <c r="M62" i="1"/>
  <c r="M63" i="1"/>
  <c r="L66" i="1"/>
  <c r="M68" i="1"/>
  <c r="M70" i="1"/>
  <c r="M72" i="1"/>
  <c r="M74" i="1"/>
  <c r="M78" i="1"/>
  <c r="M80" i="1"/>
  <c r="M89" i="1"/>
  <c r="M90" i="1"/>
  <c r="M91" i="1"/>
  <c r="M92" i="1"/>
  <c r="M93" i="1"/>
  <c r="M94" i="1"/>
  <c r="M95" i="1"/>
  <c r="M99" i="1"/>
  <c r="M101" i="1"/>
  <c r="M102" i="1"/>
  <c r="M106" i="1"/>
  <c r="M107" i="1"/>
  <c r="M108" i="1"/>
  <c r="M109" i="1"/>
  <c r="M114" i="1"/>
  <c r="M116" i="1"/>
  <c r="M120" i="1"/>
  <c r="B2" i="11"/>
  <c r="M252" i="1"/>
  <c r="M251" i="1"/>
  <c r="M250" i="1"/>
  <c r="M249" i="1"/>
  <c r="M248" i="1"/>
  <c r="M247" i="1"/>
  <c r="M246" i="1"/>
  <c r="M244" i="1"/>
  <c r="M243" i="1"/>
  <c r="M242" i="1"/>
  <c r="M235" i="1"/>
  <c r="M234" i="1"/>
  <c r="M233" i="1"/>
  <c r="M229" i="1"/>
  <c r="M228" i="1"/>
  <c r="M227" i="1"/>
  <c r="M226" i="1"/>
  <c r="M214" i="1"/>
  <c r="M213" i="1"/>
  <c r="M212" i="1"/>
  <c r="M211" i="1"/>
  <c r="M210" i="1"/>
  <c r="M209" i="1"/>
  <c r="M208" i="1"/>
  <c r="M207" i="1"/>
  <c r="M204" i="1"/>
  <c r="M197" i="1"/>
  <c r="M192" i="1"/>
  <c r="M191" i="1"/>
  <c r="M190" i="1"/>
  <c r="M188" i="1"/>
  <c r="M187" i="1"/>
  <c r="M186" i="1"/>
  <c r="M184" i="1"/>
  <c r="M181" i="1"/>
  <c r="M180" i="1"/>
  <c r="M179" i="1"/>
  <c r="M176" i="1"/>
  <c r="M175" i="1"/>
  <c r="M174" i="1"/>
  <c r="M173" i="1"/>
  <c r="M158" i="1"/>
  <c r="M159" i="1"/>
  <c r="M160" i="1"/>
  <c r="M163" i="1"/>
  <c r="M165" i="1"/>
  <c r="M166" i="1"/>
  <c r="M168" i="1"/>
  <c r="M169" i="1"/>
  <c r="M170" i="1"/>
  <c r="M155" i="1"/>
  <c r="M152" i="1"/>
  <c r="M151" i="1"/>
  <c r="M150" i="1"/>
  <c r="M149" i="1"/>
  <c r="M148" i="1"/>
  <c r="M145" i="1"/>
  <c r="M143" i="1"/>
  <c r="M141" i="1"/>
  <c r="M140" i="1"/>
  <c r="M136" i="1"/>
  <c r="M135" i="1"/>
  <c r="M134" i="1"/>
  <c r="M133" i="1"/>
  <c r="H102" i="4"/>
  <c r="H104" i="4"/>
  <c r="H105" i="4"/>
  <c r="G147" i="10"/>
  <c r="G146" i="10"/>
  <c r="G121" i="10"/>
  <c r="G120" i="10"/>
  <c r="F35" i="12"/>
  <c r="B57" i="12"/>
  <c r="B58" i="12"/>
  <c r="B59" i="12"/>
  <c r="B60" i="12"/>
  <c r="G33" i="12"/>
  <c r="G31" i="12"/>
  <c r="F19" i="12"/>
  <c r="F131" i="12" s="1"/>
  <c r="F20" i="12"/>
  <c r="F154" i="12" s="1"/>
  <c r="F288" i="12"/>
  <c r="G25" i="12"/>
  <c r="F29" i="12"/>
  <c r="F30" i="12"/>
  <c r="E20" i="12"/>
  <c r="G27" i="12"/>
  <c r="E30" i="12"/>
  <c r="D35" i="12"/>
  <c r="D36" i="12" s="1"/>
  <c r="C35" i="12"/>
  <c r="C36" i="12" s="1"/>
  <c r="B35" i="12"/>
  <c r="B36" i="12" s="1"/>
  <c r="G134" i="10"/>
  <c r="G133" i="10"/>
  <c r="G108" i="10"/>
  <c r="G107" i="10"/>
  <c r="D80" i="10"/>
  <c r="E80" i="10"/>
  <c r="K48" i="1"/>
  <c r="H78" i="4"/>
  <c r="J92" i="4" s="1"/>
  <c r="H49" i="4"/>
  <c r="H62" i="4" s="1"/>
  <c r="D2" i="15"/>
  <c r="D20" i="15" s="1"/>
  <c r="B56" i="12"/>
  <c r="L30" i="12"/>
  <c r="K171" i="1"/>
  <c r="D122" i="11"/>
  <c r="D123" i="11"/>
  <c r="D120" i="11"/>
  <c r="D100" i="11"/>
  <c r="D101" i="11"/>
  <c r="D98" i="11"/>
  <c r="D89" i="11"/>
  <c r="E2" i="8"/>
  <c r="K137" i="1"/>
  <c r="K193" i="1"/>
  <c r="M25" i="11"/>
  <c r="M26" i="11"/>
  <c r="M27" i="11"/>
  <c r="M28" i="11"/>
  <c r="M29" i="11"/>
  <c r="M31" i="11"/>
  <c r="M32" i="11"/>
  <c r="M33" i="11"/>
  <c r="M56" i="11"/>
  <c r="D94" i="11"/>
  <c r="D95" i="11"/>
  <c r="D96" i="11"/>
  <c r="D97" i="11"/>
  <c r="D102" i="11"/>
  <c r="D90" i="11"/>
  <c r="D86" i="11"/>
  <c r="D87" i="11"/>
  <c r="D88" i="11"/>
  <c r="C2" i="21"/>
  <c r="C3" i="21"/>
  <c r="C4" i="21"/>
  <c r="C5" i="21"/>
  <c r="C2" i="20"/>
  <c r="B2" i="19"/>
  <c r="B3" i="19"/>
  <c r="B4" i="19"/>
  <c r="B5" i="19"/>
  <c r="A10" i="19"/>
  <c r="B46" i="19"/>
  <c r="B51" i="19"/>
  <c r="D51" i="19" s="1"/>
  <c r="E51" i="19" s="1"/>
  <c r="B52" i="19"/>
  <c r="C52" i="19"/>
  <c r="B53" i="19"/>
  <c r="C53" i="19"/>
  <c r="C57" i="19"/>
  <c r="B58" i="19"/>
  <c r="C58" i="19"/>
  <c r="B59" i="19"/>
  <c r="B2" i="18"/>
  <c r="B4" i="18"/>
  <c r="B5" i="18"/>
  <c r="B2" i="17"/>
  <c r="B3" i="17"/>
  <c r="B4" i="17"/>
  <c r="B5" i="17"/>
  <c r="B6" i="17"/>
  <c r="B2" i="16"/>
  <c r="B3" i="16"/>
  <c r="B4" i="16"/>
  <c r="B5" i="16"/>
  <c r="D3" i="15"/>
  <c r="D4" i="15"/>
  <c r="D5" i="15"/>
  <c r="D6" i="15"/>
  <c r="B3" i="14"/>
  <c r="B4" i="14"/>
  <c r="B5" i="14"/>
  <c r="B6" i="14"/>
  <c r="B2" i="13"/>
  <c r="B4" i="13"/>
  <c r="B5" i="13"/>
  <c r="B3" i="12"/>
  <c r="B4" i="12"/>
  <c r="B5" i="12"/>
  <c r="B6" i="12"/>
  <c r="L19" i="12"/>
  <c r="L20" i="12"/>
  <c r="L25" i="12"/>
  <c r="L29" i="12"/>
  <c r="B45" i="12"/>
  <c r="B50" i="12"/>
  <c r="B51" i="12"/>
  <c r="B52" i="12"/>
  <c r="B53" i="12"/>
  <c r="B55" i="12"/>
  <c r="D73" i="12"/>
  <c r="D74" i="12"/>
  <c r="D75" i="12"/>
  <c r="D76" i="12"/>
  <c r="D77" i="12"/>
  <c r="D78" i="12"/>
  <c r="D79" i="12"/>
  <c r="D80" i="12"/>
  <c r="D81" i="12"/>
  <c r="D82" i="12"/>
  <c r="D83" i="12"/>
  <c r="D84" i="12"/>
  <c r="D85" i="12"/>
  <c r="D86" i="12"/>
  <c r="D87" i="12"/>
  <c r="D88" i="12"/>
  <c r="D89" i="12"/>
  <c r="D90" i="12"/>
  <c r="D91" i="12"/>
  <c r="D93" i="12"/>
  <c r="D138" i="12"/>
  <c r="D139" i="12"/>
  <c r="D140" i="12"/>
  <c r="D141" i="12"/>
  <c r="D142" i="12"/>
  <c r="D143" i="12"/>
  <c r="D144" i="12"/>
  <c r="D145" i="12"/>
  <c r="D146" i="12"/>
  <c r="D147" i="12"/>
  <c r="B148" i="12"/>
  <c r="C148" i="12"/>
  <c r="B149" i="12"/>
  <c r="D289" i="12"/>
  <c r="D290" i="12"/>
  <c r="D291" i="12"/>
  <c r="D292" i="12"/>
  <c r="D293" i="12"/>
  <c r="D294" i="12"/>
  <c r="D295" i="12"/>
  <c r="D296" i="12"/>
  <c r="D297" i="12"/>
  <c r="D298" i="12"/>
  <c r="D299" i="12"/>
  <c r="D300" i="12"/>
  <c r="D301" i="12"/>
  <c r="D302" i="12"/>
  <c r="D303" i="12"/>
  <c r="D304" i="12"/>
  <c r="C305" i="12"/>
  <c r="B3" i="11"/>
  <c r="B5" i="11"/>
  <c r="B6" i="11"/>
  <c r="M16" i="11"/>
  <c r="M17" i="11"/>
  <c r="M18" i="11"/>
  <c r="M19" i="11"/>
  <c r="M20" i="11"/>
  <c r="A21" i="11" s="1"/>
  <c r="M49" i="11"/>
  <c r="M50" i="11"/>
  <c r="M51" i="11"/>
  <c r="M52" i="11"/>
  <c r="M55" i="11"/>
  <c r="M57" i="11"/>
  <c r="D116" i="11"/>
  <c r="D117" i="11"/>
  <c r="D118" i="11"/>
  <c r="D119" i="11"/>
  <c r="D124" i="11"/>
  <c r="D125" i="11"/>
  <c r="B2" i="10"/>
  <c r="E40" i="10"/>
  <c r="C2" i="9"/>
  <c r="C4" i="9"/>
  <c r="C5" i="9"/>
  <c r="C6" i="9"/>
  <c r="E3" i="8"/>
  <c r="E4" i="8"/>
  <c r="E5" i="8"/>
  <c r="E6" i="8"/>
  <c r="BS13" i="8"/>
  <c r="BS14" i="8"/>
  <c r="BS15" i="8"/>
  <c r="BS20" i="8"/>
  <c r="BS21" i="8"/>
  <c r="BS22" i="8"/>
  <c r="BS24" i="8"/>
  <c r="BS25" i="8"/>
  <c r="BS26" i="8"/>
  <c r="BS27" i="8"/>
  <c r="BS28" i="8"/>
  <c r="BS29" i="8"/>
  <c r="BS30" i="8"/>
  <c r="BS31" i="8"/>
  <c r="BS32" i="8"/>
  <c r="BS33" i="8"/>
  <c r="BS34" i="8"/>
  <c r="BS35" i="8"/>
  <c r="BS36" i="8"/>
  <c r="BS37" i="8"/>
  <c r="BS38" i="8"/>
  <c r="BS39" i="8"/>
  <c r="BS40" i="8"/>
  <c r="BS41" i="8"/>
  <c r="BS43" i="8"/>
  <c r="BS44" i="8"/>
  <c r="BS45" i="8"/>
  <c r="BS46" i="8"/>
  <c r="BS47" i="8"/>
  <c r="BS48" i="8"/>
  <c r="BS49" i="8"/>
  <c r="BS50" i="8"/>
  <c r="BS55" i="8"/>
  <c r="BS56" i="8"/>
  <c r="BS57" i="8"/>
  <c r="BS58" i="8"/>
  <c r="BS59" i="8"/>
  <c r="BS60" i="8"/>
  <c r="H61" i="8"/>
  <c r="K61" i="8"/>
  <c r="N61" i="8"/>
  <c r="Q61" i="8"/>
  <c r="T61" i="8"/>
  <c r="W61" i="8"/>
  <c r="Z61" i="8"/>
  <c r="AC61" i="8"/>
  <c r="AF61" i="8"/>
  <c r="AI61" i="8"/>
  <c r="AL61" i="8"/>
  <c r="AR61" i="8"/>
  <c r="AU61" i="8"/>
  <c r="AX61" i="8"/>
  <c r="BA61" i="8"/>
  <c r="BG61" i="8"/>
  <c r="BM61" i="8"/>
  <c r="BP61" i="8"/>
  <c r="H31" i="4"/>
  <c r="H32" i="4"/>
  <c r="H38" i="4"/>
  <c r="H67" i="4"/>
  <c r="H69" i="4" s="1"/>
  <c r="H108" i="4"/>
  <c r="H109" i="4"/>
  <c r="H110" i="4"/>
  <c r="H111" i="4"/>
  <c r="J131" i="4"/>
  <c r="H139" i="4"/>
  <c r="J139" i="4"/>
  <c r="H147" i="4"/>
  <c r="J147" i="4"/>
  <c r="H155" i="4"/>
  <c r="J155" i="4"/>
  <c r="F230" i="4"/>
  <c r="F231" i="4"/>
  <c r="F254" i="4"/>
  <c r="F255" i="4"/>
  <c r="F278" i="4"/>
  <c r="F279" i="4"/>
  <c r="F302" i="4"/>
  <c r="F303" i="4"/>
  <c r="K56" i="1"/>
  <c r="M76" i="1"/>
  <c r="M83" i="1"/>
  <c r="N83" i="1" s="1"/>
  <c r="G84" i="1"/>
  <c r="M84" i="1"/>
  <c r="N84" i="1" s="1"/>
  <c r="M85" i="1"/>
  <c r="N85" i="1" s="1"/>
  <c r="M86" i="1"/>
  <c r="N86" i="1" s="1"/>
  <c r="M87" i="1"/>
  <c r="N87" i="1" s="1"/>
  <c r="M88" i="1"/>
  <c r="N88" i="1" s="1"/>
  <c r="K96" i="1"/>
  <c r="M98" i="1"/>
  <c r="N98" i="1" s="1"/>
  <c r="K103" i="1"/>
  <c r="M105" i="1"/>
  <c r="N105" i="1" s="1"/>
  <c r="K110" i="1"/>
  <c r="G125" i="1"/>
  <c r="A128" i="1"/>
  <c r="K130" i="1"/>
  <c r="L130" i="1"/>
  <c r="M130" i="1"/>
  <c r="N130" i="1"/>
  <c r="M146" i="1"/>
  <c r="M157" i="1"/>
  <c r="N157" i="1" s="1"/>
  <c r="K177" i="1"/>
  <c r="G219" i="1"/>
  <c r="A222" i="1"/>
  <c r="K230" i="1"/>
  <c r="K236" i="1"/>
  <c r="M239" i="1"/>
  <c r="N239" i="1" s="1"/>
  <c r="K257" i="1"/>
  <c r="N160" i="1" l="1"/>
  <c r="O160" i="1"/>
  <c r="N180" i="1"/>
  <c r="O180" i="1" s="1"/>
  <c r="N192" i="1"/>
  <c r="O192" i="1" s="1"/>
  <c r="N212" i="1"/>
  <c r="O212" i="1" s="1"/>
  <c r="N179" i="1"/>
  <c r="O179" i="1" s="1"/>
  <c r="N211" i="1"/>
  <c r="O211" i="1" s="1"/>
  <c r="N170" i="1"/>
  <c r="O170" i="1" s="1"/>
  <c r="N158" i="1"/>
  <c r="D76" i="3" s="1"/>
  <c r="O158" i="1"/>
  <c r="N184" i="1"/>
  <c r="D99" i="3" s="1"/>
  <c r="N204" i="1"/>
  <c r="O204" i="1" s="1"/>
  <c r="N214" i="1"/>
  <c r="O214" i="1" s="1"/>
  <c r="N191" i="1"/>
  <c r="O191" i="1" s="1"/>
  <c r="N159" i="1"/>
  <c r="D77" i="3" s="1"/>
  <c r="N197" i="1"/>
  <c r="O197" i="1" s="1"/>
  <c r="N169" i="1"/>
  <c r="O169" i="1" s="1"/>
  <c r="N173" i="1"/>
  <c r="O173" i="1" s="1"/>
  <c r="N186" i="1"/>
  <c r="D101" i="3" s="1"/>
  <c r="N207" i="1"/>
  <c r="O207" i="1" s="1"/>
  <c r="N213" i="1"/>
  <c r="O213" i="1" s="1"/>
  <c r="N168" i="1"/>
  <c r="O168" i="1" s="1"/>
  <c r="N174" i="1"/>
  <c r="D91" i="3" s="1"/>
  <c r="N187" i="1"/>
  <c r="O187" i="1" s="1"/>
  <c r="N208" i="1"/>
  <c r="D113" i="3" s="1"/>
  <c r="N163" i="1"/>
  <c r="O163" i="1" s="1"/>
  <c r="N181" i="1"/>
  <c r="O181" i="1" s="1"/>
  <c r="N146" i="1"/>
  <c r="O146" i="1" s="1"/>
  <c r="N166" i="1"/>
  <c r="O166" i="1" s="1"/>
  <c r="N175" i="1"/>
  <c r="O175" i="1" s="1"/>
  <c r="N188" i="1"/>
  <c r="D103" i="3" s="1"/>
  <c r="N209" i="1"/>
  <c r="O209" i="1" s="1"/>
  <c r="N155" i="1"/>
  <c r="O155" i="1" s="1"/>
  <c r="N165" i="1"/>
  <c r="O165" i="1" s="1"/>
  <c r="N176" i="1"/>
  <c r="O176" i="1" s="1"/>
  <c r="N190" i="1"/>
  <c r="O190" i="1"/>
  <c r="N210" i="1"/>
  <c r="O210" i="1" s="1"/>
  <c r="M66" i="1"/>
  <c r="D22" i="9"/>
  <c r="D18" i="9"/>
  <c r="D25" i="9"/>
  <c r="D26" i="9"/>
  <c r="D23" i="9"/>
  <c r="D19" i="9"/>
  <c r="D17" i="9"/>
  <c r="D21" i="9"/>
  <c r="D20" i="9"/>
  <c r="D24" i="9"/>
  <c r="M51" i="1"/>
  <c r="C23" i="3" s="1"/>
  <c r="C60" i="12"/>
  <c r="D60" i="12" s="1"/>
  <c r="C52" i="12"/>
  <c r="D52" i="12" s="1"/>
  <c r="C44" i="12"/>
  <c r="D44" i="12" s="1"/>
  <c r="C59" i="12"/>
  <c r="D59" i="12" s="1"/>
  <c r="C51" i="12"/>
  <c r="D51" i="12" s="1"/>
  <c r="C58" i="12"/>
  <c r="D58" i="12" s="1"/>
  <c r="C50" i="12"/>
  <c r="D50" i="12" s="1"/>
  <c r="C45" i="12"/>
  <c r="D45" i="12" s="1"/>
  <c r="C57" i="12"/>
  <c r="D57" i="12" s="1"/>
  <c r="C49" i="12"/>
  <c r="D49" i="12" s="1"/>
  <c r="C47" i="12"/>
  <c r="D47" i="12" s="1"/>
  <c r="C56" i="12"/>
  <c r="D56" i="12" s="1"/>
  <c r="C48" i="12"/>
  <c r="D48" i="12" s="1"/>
  <c r="C55" i="12"/>
  <c r="D55" i="12" s="1"/>
  <c r="C54" i="12"/>
  <c r="C46" i="12"/>
  <c r="D46" i="12" s="1"/>
  <c r="C53" i="12"/>
  <c r="D53" i="12" s="1"/>
  <c r="G136" i="11"/>
  <c r="J136" i="11" s="1"/>
  <c r="G124" i="11"/>
  <c r="J124" i="11" s="1"/>
  <c r="G111" i="11"/>
  <c r="J111" i="11" s="1"/>
  <c r="G102" i="11"/>
  <c r="G90" i="11"/>
  <c r="J90" i="11" s="1"/>
  <c r="G106" i="11"/>
  <c r="J106" i="11" s="1"/>
  <c r="G135" i="11"/>
  <c r="J135" i="11" s="1"/>
  <c r="G123" i="11"/>
  <c r="J123" i="11" s="1"/>
  <c r="G110" i="11"/>
  <c r="J110" i="11" s="1"/>
  <c r="G101" i="11"/>
  <c r="J101" i="11" s="1"/>
  <c r="G88" i="11"/>
  <c r="J88" i="11" s="1"/>
  <c r="G103" i="11"/>
  <c r="J103" i="11" s="1"/>
  <c r="G134" i="11"/>
  <c r="J134" i="11" s="1"/>
  <c r="G122" i="11"/>
  <c r="J122" i="11" s="1"/>
  <c r="G109" i="11"/>
  <c r="J109" i="11" s="1"/>
  <c r="G100" i="11"/>
  <c r="J100" i="11" s="1"/>
  <c r="G87" i="11"/>
  <c r="J87" i="11" s="1"/>
  <c r="G118" i="11"/>
  <c r="J118" i="11" s="1"/>
  <c r="G133" i="11"/>
  <c r="G120" i="11"/>
  <c r="J120" i="11" s="1"/>
  <c r="G108" i="11"/>
  <c r="J108" i="11" s="1"/>
  <c r="G98" i="11"/>
  <c r="J98" i="11" s="1"/>
  <c r="G89" i="11"/>
  <c r="J89" i="11" s="1"/>
  <c r="G131" i="11"/>
  <c r="J131" i="11" s="1"/>
  <c r="G132" i="11"/>
  <c r="J132" i="11" s="1"/>
  <c r="G119" i="11"/>
  <c r="J119" i="11" s="1"/>
  <c r="G107" i="11"/>
  <c r="J107" i="11" s="1"/>
  <c r="G97" i="11"/>
  <c r="J97" i="11" s="1"/>
  <c r="G86" i="11"/>
  <c r="J86" i="11" s="1"/>
  <c r="G96" i="11"/>
  <c r="J96" i="11" s="1"/>
  <c r="G94" i="11"/>
  <c r="G130" i="11"/>
  <c r="G117" i="11"/>
  <c r="J117" i="11" s="1"/>
  <c r="G105" i="11"/>
  <c r="J105" i="11" s="1"/>
  <c r="G95" i="11"/>
  <c r="J95" i="11" s="1"/>
  <c r="G125" i="11"/>
  <c r="J125" i="11" s="1"/>
  <c r="G116" i="11"/>
  <c r="J116" i="11" s="1"/>
  <c r="N60" i="11"/>
  <c r="N46" i="11"/>
  <c r="K118" i="1"/>
  <c r="K122" i="1" s="1"/>
  <c r="N76" i="1"/>
  <c r="O76" i="1" s="1"/>
  <c r="I68" i="4"/>
  <c r="I39" i="4"/>
  <c r="I52" i="4"/>
  <c r="H97" i="4"/>
  <c r="C143" i="3"/>
  <c r="D54" i="12"/>
  <c r="J133" i="11"/>
  <c r="D113" i="11"/>
  <c r="M46" i="11"/>
  <c r="M60" i="11"/>
  <c r="M22" i="11"/>
  <c r="M100" i="1"/>
  <c r="M52" i="1"/>
  <c r="M45" i="1"/>
  <c r="M41" i="1"/>
  <c r="M55" i="1"/>
  <c r="M44" i="1"/>
  <c r="M40" i="1"/>
  <c r="M79" i="1"/>
  <c r="M54" i="1"/>
  <c r="M47" i="1"/>
  <c r="M43" i="1"/>
  <c r="M53" i="1"/>
  <c r="M46" i="1"/>
  <c r="D34" i="15"/>
  <c r="K261" i="1" s="1"/>
  <c r="M261" i="1" s="1"/>
  <c r="N261" i="1" s="1"/>
  <c r="C84" i="3"/>
  <c r="D95" i="12"/>
  <c r="E125" i="12" s="1"/>
  <c r="H96" i="4"/>
  <c r="J62" i="4"/>
  <c r="K195" i="1"/>
  <c r="D122" i="12"/>
  <c r="D121" i="12"/>
  <c r="G20" i="12"/>
  <c r="M167" i="1"/>
  <c r="L171" i="1"/>
  <c r="M171" i="1" s="1"/>
  <c r="N171" i="1" s="1"/>
  <c r="BS61" i="8"/>
  <c r="A10" i="8" s="1"/>
  <c r="C62" i="3"/>
  <c r="C68" i="3"/>
  <c r="C72" i="3"/>
  <c r="C89" i="3"/>
  <c r="C77" i="3"/>
  <c r="C92" i="3"/>
  <c r="C95" i="3"/>
  <c r="C102" i="3"/>
  <c r="C107" i="3"/>
  <c r="C112" i="3"/>
  <c r="C116" i="3"/>
  <c r="C121" i="3"/>
  <c r="C126" i="3"/>
  <c r="C131" i="3"/>
  <c r="C136" i="3"/>
  <c r="C140" i="3"/>
  <c r="C145" i="3"/>
  <c r="C56" i="3"/>
  <c r="C52" i="3"/>
  <c r="C48" i="3"/>
  <c r="C44" i="3"/>
  <c r="C40" i="3"/>
  <c r="C37" i="3"/>
  <c r="C63" i="3"/>
  <c r="C69" i="3"/>
  <c r="C73" i="3"/>
  <c r="C88" i="3"/>
  <c r="C83" i="3"/>
  <c r="C76" i="3"/>
  <c r="C96" i="3"/>
  <c r="C103" i="3"/>
  <c r="C108" i="3"/>
  <c r="C113" i="3"/>
  <c r="C117" i="3"/>
  <c r="C122" i="3"/>
  <c r="C127" i="3"/>
  <c r="C132" i="3"/>
  <c r="C137" i="3"/>
  <c r="C141" i="3"/>
  <c r="C54" i="3"/>
  <c r="C51" i="3"/>
  <c r="C47" i="3"/>
  <c r="C43" i="3"/>
  <c r="C36" i="3"/>
  <c r="C33" i="3"/>
  <c r="C60" i="3"/>
  <c r="C65" i="3"/>
  <c r="C70" i="3"/>
  <c r="C74" i="3"/>
  <c r="C87" i="3"/>
  <c r="C81" i="3"/>
  <c r="C90" i="3"/>
  <c r="C93" i="3"/>
  <c r="C99" i="3"/>
  <c r="C105" i="3"/>
  <c r="C114" i="3"/>
  <c r="C118" i="3"/>
  <c r="C123" i="3"/>
  <c r="C128" i="3"/>
  <c r="C134" i="3"/>
  <c r="C138" i="3"/>
  <c r="C142" i="3"/>
  <c r="C58" i="3"/>
  <c r="C50" i="3"/>
  <c r="C46" i="3"/>
  <c r="C42" i="3"/>
  <c r="C39" i="3"/>
  <c r="C35" i="3"/>
  <c r="C32" i="3"/>
  <c r="C61" i="3"/>
  <c r="C66" i="3"/>
  <c r="C71" i="3"/>
  <c r="C75" i="3"/>
  <c r="C78" i="3"/>
  <c r="C91" i="3"/>
  <c r="C94" i="3"/>
  <c r="C101" i="3"/>
  <c r="C106" i="3"/>
  <c r="C111" i="3"/>
  <c r="C115" i="3"/>
  <c r="C119" i="3"/>
  <c r="C124" i="3"/>
  <c r="C130" i="3"/>
  <c r="C135" i="3"/>
  <c r="C139" i="3"/>
  <c r="C57" i="3"/>
  <c r="C53" i="3"/>
  <c r="C45" i="3"/>
  <c r="C41" i="3"/>
  <c r="C34" i="3"/>
  <c r="C31" i="3"/>
  <c r="C17" i="3"/>
  <c r="E35" i="12"/>
  <c r="A326" i="12" s="1"/>
  <c r="D148" i="12"/>
  <c r="L35" i="12"/>
  <c r="D305" i="12"/>
  <c r="B61" i="12"/>
  <c r="D58" i="19"/>
  <c r="E58" i="19" s="1"/>
  <c r="D57" i="19"/>
  <c r="E57" i="19" s="1"/>
  <c r="D53" i="19"/>
  <c r="E53" i="19" s="1"/>
  <c r="D91" i="11"/>
  <c r="H92" i="4"/>
  <c r="M77" i="1"/>
  <c r="B47" i="19"/>
  <c r="D126" i="11"/>
  <c r="D139" i="11" s="1"/>
  <c r="J102" i="11"/>
  <c r="G78" i="11"/>
  <c r="F77" i="9"/>
  <c r="A80" i="9" s="1"/>
  <c r="N136" i="1"/>
  <c r="D63" i="3" s="1"/>
  <c r="N141" i="1"/>
  <c r="D66" i="3" s="1"/>
  <c r="N145" i="1"/>
  <c r="D69" i="3" s="1"/>
  <c r="N149" i="1"/>
  <c r="D71" i="3" s="1"/>
  <c r="N151" i="1"/>
  <c r="D73" i="3" s="1"/>
  <c r="D83" i="3"/>
  <c r="D78" i="3"/>
  <c r="D117" i="3"/>
  <c r="N227" i="1"/>
  <c r="D122" i="3" s="1"/>
  <c r="N229" i="1"/>
  <c r="D124" i="3" s="1"/>
  <c r="N234" i="1"/>
  <c r="D127" i="3" s="1"/>
  <c r="N242" i="1"/>
  <c r="D130" i="3" s="1"/>
  <c r="N244" i="1"/>
  <c r="D132" i="3" s="1"/>
  <c r="N247" i="1"/>
  <c r="D135" i="3" s="1"/>
  <c r="N249" i="1"/>
  <c r="D137" i="3" s="1"/>
  <c r="N251" i="1"/>
  <c r="D139" i="3" s="1"/>
  <c r="D141" i="3"/>
  <c r="N120" i="1"/>
  <c r="D58" i="3" s="1"/>
  <c r="N114" i="1"/>
  <c r="D56" i="3" s="1"/>
  <c r="N108" i="1"/>
  <c r="O108" i="1" s="1"/>
  <c r="N106" i="1"/>
  <c r="D52" i="3" s="1"/>
  <c r="N101" i="1"/>
  <c r="D50" i="3" s="1"/>
  <c r="N99" i="1"/>
  <c r="D48" i="3" s="1"/>
  <c r="N94" i="1"/>
  <c r="D46" i="3" s="1"/>
  <c r="N92" i="1"/>
  <c r="D44" i="3" s="1"/>
  <c r="N90" i="1"/>
  <c r="D42" i="3" s="1"/>
  <c r="N80" i="1"/>
  <c r="D40" i="3" s="1"/>
  <c r="N78" i="1"/>
  <c r="D39" i="3" s="1"/>
  <c r="N74" i="1"/>
  <c r="D37" i="3" s="1"/>
  <c r="N70" i="1"/>
  <c r="D35" i="3" s="1"/>
  <c r="N66" i="1"/>
  <c r="N62" i="1"/>
  <c r="D32" i="3" s="1"/>
  <c r="N133" i="1"/>
  <c r="D60" i="3" s="1"/>
  <c r="N135" i="1"/>
  <c r="D62" i="3" s="1"/>
  <c r="N140" i="1"/>
  <c r="D65" i="3" s="1"/>
  <c r="N143" i="1"/>
  <c r="D68" i="3" s="1"/>
  <c r="N148" i="1"/>
  <c r="D70" i="3" s="1"/>
  <c r="N150" i="1"/>
  <c r="D72" i="3" s="1"/>
  <c r="N152" i="1"/>
  <c r="D74" i="3" s="1"/>
  <c r="D89" i="3"/>
  <c r="D90" i="3"/>
  <c r="D93" i="3"/>
  <c r="D95" i="3"/>
  <c r="D102" i="3"/>
  <c r="D105" i="3"/>
  <c r="D107" i="3"/>
  <c r="N228" i="1"/>
  <c r="D123" i="3" s="1"/>
  <c r="N233" i="1"/>
  <c r="D126" i="3" s="1"/>
  <c r="N235" i="1"/>
  <c r="D128" i="3" s="1"/>
  <c r="N243" i="1"/>
  <c r="D131" i="3" s="1"/>
  <c r="N246" i="1"/>
  <c r="D134" i="3" s="1"/>
  <c r="N248" i="1"/>
  <c r="D136" i="3" s="1"/>
  <c r="N250" i="1"/>
  <c r="D138" i="3" s="1"/>
  <c r="N252" i="1"/>
  <c r="D140" i="3" s="1"/>
  <c r="N116" i="1"/>
  <c r="D57" i="3" s="1"/>
  <c r="N109" i="1"/>
  <c r="D54" i="3" s="1"/>
  <c r="N107" i="1"/>
  <c r="D53" i="3" s="1"/>
  <c r="N102" i="1"/>
  <c r="D51" i="3" s="1"/>
  <c r="N95" i="1"/>
  <c r="D47" i="3" s="1"/>
  <c r="N93" i="1"/>
  <c r="D45" i="3" s="1"/>
  <c r="N91" i="1"/>
  <c r="D43" i="3" s="1"/>
  <c r="N89" i="1"/>
  <c r="D41" i="3" s="1"/>
  <c r="N68" i="1"/>
  <c r="D34" i="3" s="1"/>
  <c r="N63" i="1"/>
  <c r="D33" i="3" s="1"/>
  <c r="N61" i="1"/>
  <c r="D31" i="3" s="1"/>
  <c r="N51" i="1"/>
  <c r="D23" i="3" s="1"/>
  <c r="N42" i="1"/>
  <c r="D17" i="3" s="1"/>
  <c r="J78" i="11"/>
  <c r="D78" i="11"/>
  <c r="N72" i="1"/>
  <c r="D36" i="3" s="1"/>
  <c r="G30" i="12"/>
  <c r="M59" i="1"/>
  <c r="L64" i="1"/>
  <c r="M64" i="1" s="1"/>
  <c r="N64" i="1" s="1"/>
  <c r="M202" i="1"/>
  <c r="K238" i="1"/>
  <c r="K259" i="1" s="1"/>
  <c r="G29" i="12"/>
  <c r="G26" i="12"/>
  <c r="G24" i="12"/>
  <c r="G19" i="12"/>
  <c r="H112" i="4"/>
  <c r="F36" i="12"/>
  <c r="L96" i="1"/>
  <c r="M96" i="1" s="1"/>
  <c r="N96" i="1" s="1"/>
  <c r="L193" i="1"/>
  <c r="M193" i="1" s="1"/>
  <c r="N193" i="1" s="1"/>
  <c r="O254" i="1"/>
  <c r="H33" i="4"/>
  <c r="G218" i="1"/>
  <c r="G124" i="1"/>
  <c r="E1" i="8"/>
  <c r="C1" i="9"/>
  <c r="B1" i="10"/>
  <c r="B2" i="14"/>
  <c r="B1" i="17"/>
  <c r="B1" i="18"/>
  <c r="C1" i="21"/>
  <c r="G83" i="1"/>
  <c r="B1" i="11"/>
  <c r="B1" i="12"/>
  <c r="B1" i="13"/>
  <c r="D1" i="15"/>
  <c r="B1" i="16"/>
  <c r="B1" i="19"/>
  <c r="N22" i="11"/>
  <c r="D59" i="19"/>
  <c r="E59" i="19" s="1"/>
  <c r="D52" i="19"/>
  <c r="E52" i="19" s="1"/>
  <c r="H106" i="4"/>
  <c r="L177" i="1"/>
  <c r="M177" i="1" s="1"/>
  <c r="N177" i="1" s="1"/>
  <c r="L110" i="1"/>
  <c r="M110" i="1" s="1"/>
  <c r="N110" i="1" s="1"/>
  <c r="L103" i="1"/>
  <c r="M103" i="1" s="1"/>
  <c r="N103" i="1" s="1"/>
  <c r="L56" i="1"/>
  <c r="L153" i="1"/>
  <c r="M153" i="1" s="1"/>
  <c r="N153" i="1" s="1"/>
  <c r="L236" i="1"/>
  <c r="M236" i="1" s="1"/>
  <c r="N236" i="1" s="1"/>
  <c r="M230" i="1"/>
  <c r="N226" i="1"/>
  <c r="D121" i="3" s="1"/>
  <c r="N134" i="1"/>
  <c r="D61" i="3" s="1"/>
  <c r="L137" i="1"/>
  <c r="L230" i="1"/>
  <c r="M257" i="1"/>
  <c r="N257" i="1" s="1"/>
  <c r="D143" i="3"/>
  <c r="D118" i="3" l="1"/>
  <c r="D84" i="3"/>
  <c r="D116" i="3"/>
  <c r="D115" i="3"/>
  <c r="D106" i="3"/>
  <c r="D94" i="3"/>
  <c r="O106" i="1"/>
  <c r="E52" i="3" s="1"/>
  <c r="O174" i="1"/>
  <c r="E91" i="3" s="1"/>
  <c r="D92" i="3"/>
  <c r="O133" i="1"/>
  <c r="D88" i="3"/>
  <c r="D119" i="3"/>
  <c r="O78" i="1"/>
  <c r="O66" i="1"/>
  <c r="O92" i="1"/>
  <c r="E44" i="3" s="1"/>
  <c r="O114" i="1"/>
  <c r="E56" i="3" s="1"/>
  <c r="O186" i="1"/>
  <c r="D96" i="3"/>
  <c r="O227" i="1"/>
  <c r="O99" i="1"/>
  <c r="O51" i="1"/>
  <c r="O42" i="1"/>
  <c r="E17" i="3" s="1"/>
  <c r="O249" i="1"/>
  <c r="E137" i="3" s="1"/>
  <c r="D114" i="3"/>
  <c r="O109" i="1"/>
  <c r="O243" i="1"/>
  <c r="D75" i="3"/>
  <c r="D112" i="3"/>
  <c r="O134" i="1"/>
  <c r="O101" i="1"/>
  <c r="E50" i="3" s="1"/>
  <c r="N53" i="1"/>
  <c r="D25" i="3" s="1"/>
  <c r="O255" i="1"/>
  <c r="E143" i="3" s="1"/>
  <c r="O70" i="1"/>
  <c r="O188" i="1"/>
  <c r="E103" i="3" s="1"/>
  <c r="O208" i="1"/>
  <c r="O148" i="1"/>
  <c r="E70" i="3" s="1"/>
  <c r="O252" i="1"/>
  <c r="O159" i="1"/>
  <c r="E77" i="3" s="1"/>
  <c r="O95" i="1"/>
  <c r="E47" i="3" s="1"/>
  <c r="O184" i="1"/>
  <c r="E99" i="3" s="1"/>
  <c r="O102" i="1"/>
  <c r="O120" i="1"/>
  <c r="E58" i="3" s="1"/>
  <c r="N202" i="1"/>
  <c r="O202" i="1"/>
  <c r="C18" i="3"/>
  <c r="N47" i="1"/>
  <c r="D22" i="3" s="1"/>
  <c r="C24" i="3"/>
  <c r="O229" i="1"/>
  <c r="E124" i="3" s="1"/>
  <c r="O107" i="1"/>
  <c r="O80" i="1"/>
  <c r="E40" i="3" s="1"/>
  <c r="O72" i="1"/>
  <c r="O226" i="1"/>
  <c r="O90" i="1"/>
  <c r="E42" i="3" s="1"/>
  <c r="O251" i="1"/>
  <c r="E139" i="3" s="1"/>
  <c r="O234" i="1"/>
  <c r="E127" i="3" s="1"/>
  <c r="C21" i="3"/>
  <c r="C27" i="3"/>
  <c r="D111" i="3"/>
  <c r="C26" i="3"/>
  <c r="C49" i="3"/>
  <c r="O150" i="1"/>
  <c r="E72" i="3" s="1"/>
  <c r="O93" i="1"/>
  <c r="E45" i="3" s="1"/>
  <c r="O145" i="1"/>
  <c r="E69" i="3" s="1"/>
  <c r="O242" i="1"/>
  <c r="E130" i="3" s="1"/>
  <c r="O152" i="1"/>
  <c r="E74" i="3" s="1"/>
  <c r="C20" i="3"/>
  <c r="O247" i="1"/>
  <c r="E135" i="3" s="1"/>
  <c r="D81" i="3"/>
  <c r="D108" i="3"/>
  <c r="N167" i="1"/>
  <c r="O167" i="1" s="1"/>
  <c r="E85" i="3" s="1"/>
  <c r="N79" i="1"/>
  <c r="O79" i="1" s="1"/>
  <c r="O135" i="1"/>
  <c r="E62" i="3" s="1"/>
  <c r="O246" i="1"/>
  <c r="E134" i="3" s="1"/>
  <c r="O233" i="1"/>
  <c r="O62" i="1"/>
  <c r="O140" i="1"/>
  <c r="E65" i="3" s="1"/>
  <c r="M48" i="1"/>
  <c r="N48" i="1" s="1"/>
  <c r="O68" i="1"/>
  <c r="E34" i="3" s="1"/>
  <c r="O116" i="1"/>
  <c r="E57" i="3" s="1"/>
  <c r="O228" i="1"/>
  <c r="E123" i="3" s="1"/>
  <c r="O141" i="1"/>
  <c r="E66" i="3" s="1"/>
  <c r="E141" i="3"/>
  <c r="O74" i="1"/>
  <c r="E37" i="3" s="1"/>
  <c r="O235" i="1"/>
  <c r="E128" i="3" s="1"/>
  <c r="O136" i="1"/>
  <c r="E63" i="3" s="1"/>
  <c r="O63" i="1"/>
  <c r="E33" i="3" s="1"/>
  <c r="O248" i="1"/>
  <c r="E136" i="3" s="1"/>
  <c r="D87" i="3"/>
  <c r="C19" i="3"/>
  <c r="O91" i="1"/>
  <c r="E43" i="3" s="1"/>
  <c r="O149" i="1"/>
  <c r="E71" i="3" s="1"/>
  <c r="O244" i="1"/>
  <c r="E132" i="3" s="1"/>
  <c r="O94" i="1"/>
  <c r="O61" i="1"/>
  <c r="E31" i="3" s="1"/>
  <c r="O143" i="1"/>
  <c r="E68" i="3" s="1"/>
  <c r="O89" i="1"/>
  <c r="E41" i="3" s="1"/>
  <c r="O151" i="1"/>
  <c r="E73" i="3" s="1"/>
  <c r="F55" i="9"/>
  <c r="E106" i="12"/>
  <c r="E109" i="12" s="1"/>
  <c r="D141" i="11"/>
  <c r="D143" i="11" s="1"/>
  <c r="M56" i="1"/>
  <c r="N56" i="1" s="1"/>
  <c r="L118" i="1"/>
  <c r="L122" i="1" s="1"/>
  <c r="M74" i="11"/>
  <c r="E89" i="3"/>
  <c r="E122" i="3"/>
  <c r="E94" i="3"/>
  <c r="E61" i="3"/>
  <c r="E112" i="3"/>
  <c r="E115" i="3"/>
  <c r="E113" i="3"/>
  <c r="E101" i="3"/>
  <c r="E117" i="3"/>
  <c r="E81" i="3"/>
  <c r="E105" i="3"/>
  <c r="E102" i="3"/>
  <c r="E90" i="3"/>
  <c r="E118" i="3"/>
  <c r="E107" i="3"/>
  <c r="E93" i="3"/>
  <c r="C15" i="3"/>
  <c r="E48" i="3"/>
  <c r="E88" i="3"/>
  <c r="E108" i="3"/>
  <c r="E95" i="3"/>
  <c r="E53" i="3"/>
  <c r="E83" i="3"/>
  <c r="E32" i="3"/>
  <c r="E87" i="3"/>
  <c r="E119" i="3"/>
  <c r="E96" i="3"/>
  <c r="E35" i="3"/>
  <c r="E78" i="3"/>
  <c r="E140" i="3"/>
  <c r="E114" i="3"/>
  <c r="E111" i="3"/>
  <c r="E92" i="3"/>
  <c r="E126" i="3"/>
  <c r="E39" i="3"/>
  <c r="E54" i="3"/>
  <c r="E60" i="3"/>
  <c r="E131" i="3"/>
  <c r="E75" i="3"/>
  <c r="E51" i="3"/>
  <c r="E116" i="3"/>
  <c r="E46" i="3"/>
  <c r="E121" i="3"/>
  <c r="E76" i="3"/>
  <c r="E36" i="3"/>
  <c r="E106" i="3"/>
  <c r="E84" i="3"/>
  <c r="E36" i="12"/>
  <c r="G137" i="11"/>
  <c r="J130" i="11"/>
  <c r="J137" i="11" s="1"/>
  <c r="J94" i="11"/>
  <c r="J113" i="11" s="1"/>
  <c r="G113" i="11"/>
  <c r="M76" i="11"/>
  <c r="M78" i="11" s="1"/>
  <c r="N76" i="11"/>
  <c r="A58" i="9"/>
  <c r="D145" i="3"/>
  <c r="D142" i="3"/>
  <c r="N55" i="1"/>
  <c r="D27" i="3" s="1"/>
  <c r="E142" i="3"/>
  <c r="E138" i="3"/>
  <c r="N100" i="1"/>
  <c r="O100" i="1" s="1"/>
  <c r="N46" i="1"/>
  <c r="N52" i="1"/>
  <c r="D24" i="3" s="1"/>
  <c r="N54" i="1"/>
  <c r="N44" i="1"/>
  <c r="D19" i="3" s="1"/>
  <c r="C22" i="3"/>
  <c r="N43" i="1"/>
  <c r="D18" i="3" s="1"/>
  <c r="N40" i="1"/>
  <c r="D15" i="3" s="1"/>
  <c r="N45" i="1"/>
  <c r="D20" i="3" s="1"/>
  <c r="C25" i="3"/>
  <c r="C16" i="3"/>
  <c r="N41" i="1"/>
  <c r="O41" i="1" s="1"/>
  <c r="L195" i="1"/>
  <c r="E113" i="12"/>
  <c r="E114" i="12"/>
  <c r="H305" i="4"/>
  <c r="H306" i="4" s="1"/>
  <c r="H113" i="4"/>
  <c r="K199" i="1"/>
  <c r="K215" i="1" s="1"/>
  <c r="K263" i="1" s="1"/>
  <c r="K32" i="12"/>
  <c r="G32" i="12"/>
  <c r="C85" i="3"/>
  <c r="N77" i="1"/>
  <c r="D38" i="3" s="1"/>
  <c r="C38" i="3"/>
  <c r="C29" i="3"/>
  <c r="C110" i="3"/>
  <c r="E121" i="12"/>
  <c r="E122" i="12"/>
  <c r="H319" i="4"/>
  <c r="M81" i="1"/>
  <c r="N81" i="1" s="1"/>
  <c r="J91" i="11"/>
  <c r="G91" i="11"/>
  <c r="G319" i="4"/>
  <c r="BS62" i="8"/>
  <c r="K216" i="1"/>
  <c r="D110" i="3"/>
  <c r="N59" i="1"/>
  <c r="O59" i="1" s="1"/>
  <c r="BS63" i="8"/>
  <c r="J126" i="11"/>
  <c r="L238" i="1"/>
  <c r="L259" i="1" s="1"/>
  <c r="C61" i="12"/>
  <c r="D61" i="12"/>
  <c r="A65" i="12" s="1"/>
  <c r="G126" i="11"/>
  <c r="N230" i="1"/>
  <c r="M137" i="1"/>
  <c r="N137" i="1" s="1"/>
  <c r="O40" i="1" l="1"/>
  <c r="O47" i="1"/>
  <c r="E22" i="3" s="1"/>
  <c r="O44" i="1"/>
  <c r="O55" i="1"/>
  <c r="O77" i="1"/>
  <c r="E38" i="3" s="1"/>
  <c r="E21" i="3"/>
  <c r="O43" i="1"/>
  <c r="E18" i="3" s="1"/>
  <c r="O53" i="1"/>
  <c r="E23" i="3" s="1"/>
  <c r="O46" i="1"/>
  <c r="E16" i="3"/>
  <c r="O45" i="1"/>
  <c r="O54" i="1"/>
  <c r="E26" i="3" s="1"/>
  <c r="O52" i="1"/>
  <c r="E24" i="3" s="1"/>
  <c r="G323" i="4"/>
  <c r="B327" i="4" s="1"/>
  <c r="D327" i="4" s="1"/>
  <c r="H119" i="4"/>
  <c r="B121" i="4" s="1"/>
  <c r="E110" i="3"/>
  <c r="D29" i="3"/>
  <c r="E29" i="3"/>
  <c r="E15" i="3"/>
  <c r="G139" i="11"/>
  <c r="G141" i="11" s="1"/>
  <c r="G143" i="11" s="1"/>
  <c r="J139" i="11"/>
  <c r="J141" i="11" s="1"/>
  <c r="J143" i="11" s="1"/>
  <c r="A146" i="11" s="1"/>
  <c r="E145" i="3"/>
  <c r="D21" i="3"/>
  <c r="D49" i="3"/>
  <c r="E49" i="3"/>
  <c r="D16" i="3"/>
  <c r="D26" i="3"/>
  <c r="F327" i="4"/>
  <c r="D85" i="3"/>
  <c r="J115" i="4"/>
  <c r="H115" i="4"/>
  <c r="K34" i="12"/>
  <c r="G34" i="12"/>
  <c r="G35" i="12" s="1"/>
  <c r="G36" i="12" s="1"/>
  <c r="K264" i="1"/>
  <c r="M238" i="1"/>
  <c r="N238" i="1" s="1"/>
  <c r="M118" i="1"/>
  <c r="N118" i="1" s="1"/>
  <c r="M195" i="1"/>
  <c r="L199" i="1"/>
  <c r="M259" i="1"/>
  <c r="N259" i="1" s="1"/>
  <c r="E27" i="3" l="1"/>
  <c r="E25" i="3"/>
  <c r="F337" i="4"/>
  <c r="L215" i="1"/>
  <c r="L263" i="1" s="1"/>
  <c r="M263" i="1" s="1"/>
  <c r="N263" i="1" s="1"/>
  <c r="M122" i="1"/>
  <c r="N122" i="1" s="1"/>
  <c r="M199" i="1"/>
  <c r="N199" i="1" s="1"/>
  <c r="N195" i="1"/>
  <c r="M215" i="1" l="1"/>
  <c r="N2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 Winfield</author>
    <author>Esther Kim, DOA</author>
    <author>Kelly Winfield</author>
  </authors>
  <commentList>
    <comment ref="A9" authorId="0" shapeId="0" xr:uid="{9DD5E55F-5D62-4E01-9092-A6023942CC18}">
      <text>
        <r>
          <rPr>
            <b/>
            <sz val="8"/>
            <color indexed="81"/>
            <rFont val="Tahoma"/>
            <family val="2"/>
          </rPr>
          <t xml:space="preserve">K Winfield: </t>
        </r>
        <r>
          <rPr>
            <sz val="8"/>
            <color indexed="81"/>
            <rFont val="Tahoma"/>
            <family val="2"/>
          </rPr>
          <t xml:space="preserve">For FY23 numbers (used in FY24), added two new line items for Long-term Operator Installment Payment Liabilities in the Stmt of NP </t>
        </r>
        <r>
          <rPr>
            <b/>
            <sz val="8"/>
            <color indexed="81"/>
            <rFont val="Tahoma"/>
            <family val="2"/>
          </rPr>
          <t>and</t>
        </r>
        <r>
          <rPr>
            <sz val="8"/>
            <color indexed="81"/>
            <rFont val="Tahoma"/>
            <family val="2"/>
          </rPr>
          <t xml:space="preserve"> Tab 4 - LT Liabilities sections below.  Added new line item for Restricted Receivables, Net.  Also, added new line items for Right-to-Use underlying intangible PPP asset category and the corresponding accumulated amortization in the Tab 3 - Capital Asset section below.</t>
        </r>
      </text>
    </comment>
    <comment ref="DV32" authorId="1" shapeId="0" xr:uid="{DA40220C-4131-4DE7-A86B-2B47FCFF1F2B}">
      <text>
        <r>
          <rPr>
            <b/>
            <sz val="9"/>
            <color indexed="81"/>
            <rFont val="Tahoma"/>
            <family val="2"/>
          </rPr>
          <t>Esther Kim, DOA:</t>
        </r>
        <r>
          <rPr>
            <sz val="9"/>
            <color indexed="81"/>
            <rFont val="Tahoma"/>
            <family val="2"/>
          </rPr>
          <t xml:space="preserve">
dissolved in FY 2015</t>
        </r>
      </text>
    </comment>
    <comment ref="ED32" authorId="1" shapeId="0" xr:uid="{3F95C375-CCDF-4607-A614-D4A6EC90DA07}">
      <text>
        <r>
          <rPr>
            <b/>
            <sz val="9"/>
            <color indexed="81"/>
            <rFont val="Tahoma"/>
            <family val="2"/>
          </rPr>
          <t>Esther Kim, DOA:</t>
        </r>
        <r>
          <rPr>
            <sz val="9"/>
            <color indexed="81"/>
            <rFont val="Tahoma"/>
            <family val="2"/>
          </rPr>
          <t xml:space="preserve">
not considered as a CU effective FY 2015</t>
        </r>
      </text>
    </comment>
    <comment ref="GL32" authorId="0" shapeId="0" xr:uid="{20FE105F-4928-44AC-AF6C-19D94C6E0C78}">
      <text>
        <r>
          <rPr>
            <b/>
            <sz val="9"/>
            <color indexed="81"/>
            <rFont val="Tahoma"/>
            <family val="2"/>
          </rPr>
          <t>K Winfield:</t>
        </r>
        <r>
          <rPr>
            <sz val="9"/>
            <color indexed="81"/>
            <rFont val="Tahoma"/>
            <family val="2"/>
          </rPr>
          <t xml:space="preserve">
Use this column to check that each line item matches the prior year's combining TB (line items may be off by 1 due to rounding).  </t>
        </r>
        <r>
          <rPr>
            <b/>
            <u/>
            <sz val="9"/>
            <color indexed="81"/>
            <rFont val="Tahoma"/>
            <family val="2"/>
          </rPr>
          <t>Note:</t>
        </r>
        <r>
          <rPr>
            <sz val="9"/>
            <color indexed="81"/>
            <rFont val="Tahoma"/>
            <family val="2"/>
          </rPr>
          <t xml:space="preserve"> This excludes some AJEs, so line items such as Restricted Other Assets and NPL/ NOL/ TOL Liabilities may be off compared to the combining TB. </t>
        </r>
        <r>
          <rPr>
            <sz val="9"/>
            <color indexed="81"/>
            <rFont val="Tahoma"/>
            <family val="2"/>
          </rPr>
          <t xml:space="preserve">
</t>
        </r>
      </text>
    </comment>
    <comment ref="GM32" authorId="0" shapeId="0" xr:uid="{836DF7BC-D33C-4CA0-A9E2-D8EA2FAB6369}">
      <text>
        <r>
          <rPr>
            <b/>
            <sz val="9"/>
            <color indexed="81"/>
            <rFont val="Tahoma"/>
            <family val="2"/>
          </rPr>
          <t>K Winfield:</t>
        </r>
        <r>
          <rPr>
            <sz val="9"/>
            <color indexed="81"/>
            <rFont val="Tahoma"/>
            <family val="2"/>
          </rPr>
          <t xml:space="preserve">
Use this column to check that all PY numbers were keyed into the Prior Year Amounts tab in the CU4 on the correct line item</t>
        </r>
      </text>
    </comment>
    <comment ref="A62" authorId="0" shapeId="0" xr:uid="{1B8E1B45-D540-4C97-91D0-821090B7B2BD}">
      <text>
        <r>
          <rPr>
            <b/>
            <sz val="9"/>
            <color indexed="81"/>
            <rFont val="Tahoma"/>
            <family val="2"/>
          </rPr>
          <t>K Winfield:</t>
        </r>
        <r>
          <rPr>
            <sz val="9"/>
            <color indexed="81"/>
            <rFont val="Tahoma"/>
            <family val="2"/>
          </rPr>
          <t xml:space="preserve">
This line item includes amounts reported as Loans Receivable from PMG on the ACFR for VPSA (since there isn't a line item for Loans Receivable on the CU-4)</t>
        </r>
      </text>
    </comment>
    <comment ref="GL103" authorId="0" shapeId="0" xr:uid="{C32BBE6F-5014-40A2-A674-96351C1E2D1B}">
      <text>
        <r>
          <rPr>
            <b/>
            <sz val="9"/>
            <color indexed="81"/>
            <rFont val="Tahoma"/>
            <family val="2"/>
          </rPr>
          <t>K Winfield:</t>
        </r>
        <r>
          <rPr>
            <sz val="9"/>
            <color indexed="81"/>
            <rFont val="Tahoma"/>
            <family val="2"/>
          </rPr>
          <t xml:space="preserve">
excludes amts from some NOL AJEs ($80 for VFHY and $45 for VSBFA)</t>
        </r>
      </text>
    </comment>
    <comment ref="GL114" authorId="0" shapeId="0" xr:uid="{EE391523-3BED-4FCE-B758-1DF263691CCE}">
      <text>
        <r>
          <rPr>
            <b/>
            <sz val="9"/>
            <color indexed="81"/>
            <rFont val="Tahoma"/>
            <family val="2"/>
          </rPr>
          <t>K Winfield:</t>
        </r>
        <r>
          <rPr>
            <sz val="9"/>
            <color indexed="81"/>
            <rFont val="Tahoma"/>
            <family val="2"/>
          </rPr>
          <t xml:space="preserve">
Excludes amounts from some NPL/ NOL/ TOL AJEs (i.e. VHYF, VSBFA, TRRC)</t>
        </r>
      </text>
    </comment>
    <comment ref="A132" authorId="2" shapeId="0" xr:uid="{99FCC99E-69E7-4B17-BA72-DEDF92A3EDCE}">
      <text>
        <r>
          <rPr>
            <b/>
            <sz val="9"/>
            <color indexed="81"/>
            <rFont val="Tahoma"/>
            <family val="2"/>
          </rPr>
          <t>Kelly Winfield:</t>
        </r>
        <r>
          <rPr>
            <sz val="9"/>
            <color indexed="81"/>
            <rFont val="Tahoma"/>
            <family val="2"/>
          </rPr>
          <t xml:space="preserve">
Added line item for Amount Due to Other Governments. 2/18/22</t>
        </r>
      </text>
    </comment>
    <comment ref="A152" authorId="0" shapeId="0" xr:uid="{C9B12665-B47A-4530-A9F1-B9F08720CD16}">
      <text>
        <r>
          <rPr>
            <b/>
            <sz val="9"/>
            <color indexed="81"/>
            <rFont val="Tahoma"/>
            <family val="2"/>
          </rPr>
          <t>K Winfield:</t>
        </r>
        <r>
          <rPr>
            <sz val="9"/>
            <color indexed="81"/>
            <rFont val="Tahoma"/>
            <family val="2"/>
          </rPr>
          <t xml:space="preserve">
Changed name from Cap Lease Ob to LT Lease Liab. 2/7/23</t>
        </r>
      </text>
    </comment>
    <comment ref="A153" authorId="0" shapeId="0" xr:uid="{11D1212F-9CF2-48BB-BDA6-D77E4069C4E5}">
      <text>
        <r>
          <rPr>
            <b/>
            <sz val="9"/>
            <color indexed="81"/>
            <rFont val="Tahoma"/>
            <family val="2"/>
          </rPr>
          <t>K Winfield:</t>
        </r>
        <r>
          <rPr>
            <sz val="9"/>
            <color indexed="81"/>
            <rFont val="Tahoma"/>
            <family val="2"/>
          </rPr>
          <t xml:space="preserve">
Added this line item to match CU-4 2/7/23</t>
        </r>
      </text>
    </comment>
    <comment ref="A158" authorId="0" shapeId="0" xr:uid="{F5B43B21-3C21-4279-9463-728780747CBE}">
      <text>
        <r>
          <rPr>
            <b/>
            <sz val="9"/>
            <color indexed="81"/>
            <rFont val="Tahoma"/>
            <family val="2"/>
          </rPr>
          <t>K Winfield:</t>
        </r>
        <r>
          <rPr>
            <sz val="9"/>
            <color indexed="81"/>
            <rFont val="Tahoma"/>
            <family val="2"/>
          </rPr>
          <t xml:space="preserve">
Changed name from NPL to NOL to match CU-4
2/7/23
</t>
        </r>
      </text>
    </comment>
    <comment ref="GL163" authorId="0" shapeId="0" xr:uid="{C25F448E-8E71-4606-904D-37E998921306}">
      <text>
        <r>
          <rPr>
            <b/>
            <sz val="9"/>
            <color indexed="81"/>
            <rFont val="Tahoma"/>
            <family val="2"/>
          </rPr>
          <t>K Winfield:</t>
        </r>
        <r>
          <rPr>
            <sz val="9"/>
            <color indexed="81"/>
            <rFont val="Tahoma"/>
            <family val="2"/>
          </rPr>
          <t xml:space="preserve">
Excludes amts for some NOL &amp; TOL Liabilities</t>
        </r>
      </text>
    </comment>
    <comment ref="A173" authorId="0" shapeId="0" xr:uid="{8DD54D17-3A5A-4749-9FA6-0B176DF06DC4}">
      <text>
        <r>
          <rPr>
            <b/>
            <sz val="9"/>
            <color indexed="81"/>
            <rFont val="Tahoma"/>
            <family val="2"/>
          </rPr>
          <t>K Winfield:</t>
        </r>
        <r>
          <rPr>
            <sz val="9"/>
            <color indexed="81"/>
            <rFont val="Tahoma"/>
            <family val="2"/>
          </rPr>
          <t xml:space="preserve">
Changed name from Cap Lease Ob to LT Lease Liab. 2/7/23</t>
        </r>
      </text>
    </comment>
    <comment ref="A174" authorId="0" shapeId="0" xr:uid="{13323E79-B7BF-4656-95FC-894193355509}">
      <text>
        <r>
          <rPr>
            <b/>
            <sz val="9"/>
            <color indexed="81"/>
            <rFont val="Tahoma"/>
            <family val="2"/>
          </rPr>
          <t>K Winfield:</t>
        </r>
        <r>
          <rPr>
            <sz val="9"/>
            <color indexed="81"/>
            <rFont val="Tahoma"/>
            <family val="2"/>
          </rPr>
          <t xml:space="preserve">
Added this line item to match CU-4 2/7/23</t>
        </r>
      </text>
    </comment>
    <comment ref="A180" authorId="2" shapeId="0" xr:uid="{003DDAE7-63B1-450E-9CEA-D689BA151DF0}">
      <text>
        <r>
          <rPr>
            <b/>
            <sz val="9"/>
            <color indexed="81"/>
            <rFont val="Tahoma"/>
            <family val="2"/>
          </rPr>
          <t>Kelly Winfield:</t>
        </r>
        <r>
          <rPr>
            <sz val="9"/>
            <color indexed="81"/>
            <rFont val="Tahoma"/>
            <family val="2"/>
          </rPr>
          <t xml:space="preserve">
Added row for Net OPEB 2/17/22</t>
        </r>
      </text>
    </comment>
    <comment ref="GL185" authorId="0" shapeId="0" xr:uid="{01C7FF59-8BBC-4A0F-B62E-0250E0F14E83}">
      <text>
        <r>
          <rPr>
            <b/>
            <sz val="9"/>
            <color indexed="81"/>
            <rFont val="Tahoma"/>
            <family val="2"/>
          </rPr>
          <t>K Winfield:</t>
        </r>
        <r>
          <rPr>
            <sz val="9"/>
            <color indexed="81"/>
            <rFont val="Tahoma"/>
            <family val="2"/>
          </rPr>
          <t xml:space="preserve">
Excludes amts for some NPL, NOL &amp; TOL Liabilities</t>
        </r>
      </text>
    </comment>
    <comment ref="GL189" authorId="0" shapeId="0" xr:uid="{C841E13F-8018-4D71-AC33-058B3FE1FCCD}">
      <text>
        <r>
          <rPr>
            <b/>
            <sz val="9"/>
            <color indexed="81"/>
            <rFont val="Tahoma"/>
            <family val="2"/>
          </rPr>
          <t>K Winfield:</t>
        </r>
        <r>
          <rPr>
            <sz val="9"/>
            <color indexed="81"/>
            <rFont val="Tahoma"/>
            <family val="2"/>
          </rPr>
          <t xml:space="preserve">
Excludes amounts from some NPL/ NOL/ TOL AJEs</t>
        </r>
      </text>
    </comment>
    <comment ref="GL200" authorId="0" shapeId="0" xr:uid="{7F769E58-6940-4091-85B4-7117D8E2D008}">
      <text>
        <r>
          <rPr>
            <b/>
            <sz val="9"/>
            <color indexed="81"/>
            <rFont val="Tahoma"/>
            <family val="2"/>
          </rPr>
          <t>K Winfield:</t>
        </r>
        <r>
          <rPr>
            <sz val="9"/>
            <color indexed="81"/>
            <rFont val="Tahoma"/>
            <family val="2"/>
          </rPr>
          <t xml:space="preserve">
some AJEs Excluded (i.e. for VFHY, VSBFA, TRRC)</t>
        </r>
      </text>
    </comment>
    <comment ref="GL206" authorId="0" shapeId="0" xr:uid="{F0E6AA42-4E10-47F8-B362-E889A29C6337}">
      <text>
        <r>
          <rPr>
            <b/>
            <sz val="9"/>
            <color indexed="81"/>
            <rFont val="Tahoma"/>
            <family val="2"/>
          </rPr>
          <t>K Winfield:</t>
        </r>
        <r>
          <rPr>
            <sz val="9"/>
            <color indexed="81"/>
            <rFont val="Tahoma"/>
            <family val="2"/>
          </rPr>
          <t xml:space="preserve">
Excludes amounts from some NPL/ NOL/ TOL AJEs</t>
        </r>
      </text>
    </comment>
    <comment ref="GL218" authorId="0" shapeId="0" xr:uid="{2DC5357E-3CCB-45E9-AE63-4818FC58A257}">
      <text>
        <r>
          <rPr>
            <b/>
            <sz val="9"/>
            <color indexed="81"/>
            <rFont val="Tahoma"/>
            <family val="2"/>
          </rPr>
          <t>K Winfield:</t>
        </r>
        <r>
          <rPr>
            <sz val="9"/>
            <color indexed="81"/>
            <rFont val="Tahoma"/>
            <family val="2"/>
          </rPr>
          <t xml:space="preserve">
Excludes amounts from some NPL &amp; NOL AJEs</t>
        </r>
      </text>
    </comment>
    <comment ref="GL224" authorId="0" shapeId="0" xr:uid="{96DED3DE-31B6-4DE2-9211-A8C6B9CA4A41}">
      <text>
        <r>
          <rPr>
            <b/>
            <sz val="9"/>
            <color indexed="81"/>
            <rFont val="Tahoma"/>
            <family val="2"/>
          </rPr>
          <t>K Winfield:</t>
        </r>
        <r>
          <rPr>
            <sz val="9"/>
            <color indexed="81"/>
            <rFont val="Tahoma"/>
            <family val="2"/>
          </rPr>
          <t xml:space="preserve">
Excludes amounts from some NPL/ NOL/ TOL AJEs </t>
        </r>
        <r>
          <rPr>
            <b/>
            <u/>
            <sz val="9"/>
            <color indexed="81"/>
            <rFont val="Tahoma"/>
            <family val="2"/>
          </rPr>
          <t>and</t>
        </r>
        <r>
          <rPr>
            <sz val="9"/>
            <color indexed="81"/>
            <rFont val="Tahoma"/>
            <family val="2"/>
          </rPr>
          <t xml:space="preserve"> $1,319 for VAF</t>
        </r>
      </text>
    </comment>
    <comment ref="DV258" authorId="1" shapeId="0" xr:uid="{FB9AA519-A122-41E6-A583-0BD6B5BF6DC0}">
      <text>
        <r>
          <rPr>
            <b/>
            <sz val="9"/>
            <color indexed="81"/>
            <rFont val="Tahoma"/>
            <family val="2"/>
          </rPr>
          <t>Esther Kim, DOA:</t>
        </r>
        <r>
          <rPr>
            <sz val="9"/>
            <color indexed="81"/>
            <rFont val="Tahoma"/>
            <family val="2"/>
          </rPr>
          <t xml:space="preserve">
dissolved in FY 2015</t>
        </r>
      </text>
    </comment>
    <comment ref="ED258" authorId="1" shapeId="0" xr:uid="{B1C8EC10-4B74-44CB-A39B-E90C02A32F49}">
      <text>
        <r>
          <rPr>
            <b/>
            <sz val="9"/>
            <color indexed="81"/>
            <rFont val="Tahoma"/>
            <family val="2"/>
          </rPr>
          <t>Esther Kim, DOA:</t>
        </r>
        <r>
          <rPr>
            <sz val="9"/>
            <color indexed="81"/>
            <rFont val="Tahoma"/>
            <family val="2"/>
          </rPr>
          <t xml:space="preserve">
not considered as a CU effective FY 2015</t>
        </r>
      </text>
    </comment>
    <comment ref="GK258" authorId="0" shapeId="0" xr:uid="{51EC4159-FFB5-4DA6-81F6-E26DE7DD8E38}">
      <text>
        <r>
          <rPr>
            <b/>
            <sz val="9"/>
            <color indexed="81"/>
            <rFont val="Tahoma"/>
            <family val="2"/>
          </rPr>
          <t>K Winfield:</t>
        </r>
        <r>
          <rPr>
            <sz val="9"/>
            <color indexed="81"/>
            <rFont val="Tahoma"/>
            <family val="2"/>
          </rPr>
          <t xml:space="preserve">
Use this column to compare line items to the Capital Asset footnote file located under Q:\ACFR\_W-DESK\Wdesk DETAIL Files - NOT SYNCED</t>
        </r>
      </text>
    </comment>
    <comment ref="DV325" authorId="1" shapeId="0" xr:uid="{AD875788-362D-4C3F-A411-099143E3998C}">
      <text>
        <r>
          <rPr>
            <b/>
            <sz val="9"/>
            <color indexed="81"/>
            <rFont val="Tahoma"/>
            <family val="2"/>
          </rPr>
          <t>Esther Kim, DOA:</t>
        </r>
        <r>
          <rPr>
            <sz val="9"/>
            <color indexed="81"/>
            <rFont val="Tahoma"/>
            <family val="2"/>
          </rPr>
          <t xml:space="preserve">
dissolved in FY 2015</t>
        </r>
      </text>
    </comment>
    <comment ref="ED325" authorId="1" shapeId="0" xr:uid="{F1031C70-0B13-4096-BBA5-9A5FC4A86C8D}">
      <text>
        <r>
          <rPr>
            <b/>
            <sz val="9"/>
            <color indexed="81"/>
            <rFont val="Tahoma"/>
            <family val="2"/>
          </rPr>
          <t>Esther Kim, DOA:</t>
        </r>
        <r>
          <rPr>
            <sz val="9"/>
            <color indexed="81"/>
            <rFont val="Tahoma"/>
            <family val="2"/>
          </rPr>
          <t xml:space="preserve">
not considered as a CU effective FY 2015</t>
        </r>
      </text>
    </comment>
    <comment ref="GN325" authorId="0" shapeId="0" xr:uid="{B91B6EB1-CD00-4D95-B009-F04B900C2D88}">
      <text>
        <r>
          <rPr>
            <b/>
            <sz val="9"/>
            <color indexed="81"/>
            <rFont val="Tahoma"/>
            <family val="2"/>
          </rPr>
          <t>K Winfield:</t>
        </r>
        <r>
          <rPr>
            <sz val="9"/>
            <color indexed="81"/>
            <rFont val="Tahoma"/>
            <family val="2"/>
          </rPr>
          <t xml:space="preserve">
Use this column to compare line items to the LT Debt CU file located under Q:\Programs\Component Units\20XX</t>
        </r>
      </text>
    </comment>
    <comment ref="GK326" authorId="0" shapeId="0" xr:uid="{F469C96F-CF7B-4021-837A-D827C132C7E3}">
      <text>
        <r>
          <rPr>
            <b/>
            <sz val="9"/>
            <color indexed="81"/>
            <rFont val="Tahoma"/>
            <family val="2"/>
          </rPr>
          <t>K Winfield:</t>
        </r>
        <r>
          <rPr>
            <sz val="9"/>
            <color indexed="81"/>
            <rFont val="Tahoma"/>
            <family val="2"/>
          </rPr>
          <t xml:space="preserve">
Key in from the LT Debt CU4 - FY20XX file, Correction tabs</t>
        </r>
      </text>
    </comment>
    <comment ref="GK335" authorId="0" shapeId="0" xr:uid="{42F38FE1-E971-4C13-8759-6A1A07DD395A}">
      <text>
        <r>
          <rPr>
            <b/>
            <sz val="9"/>
            <color indexed="81"/>
            <rFont val="Tahoma"/>
            <family val="2"/>
          </rPr>
          <t>K Winfield:</t>
        </r>
        <r>
          <rPr>
            <sz val="9"/>
            <color indexed="81"/>
            <rFont val="Tahoma"/>
            <family val="2"/>
          </rPr>
          <t xml:space="preserve">
SBFA, VFHY &amp; TRRC amounts for FY23 entered.  KW 1/23/24</t>
        </r>
      </text>
    </comment>
    <comment ref="C336" authorId="2" shapeId="0" xr:uid="{F0F34356-E8CC-4278-8BC7-CA70304BE885}">
      <text>
        <r>
          <rPr>
            <b/>
            <sz val="9"/>
            <color indexed="81"/>
            <rFont val="Tahoma"/>
            <family val="2"/>
          </rPr>
          <t>Kelly Winfield:</t>
        </r>
        <r>
          <rPr>
            <sz val="9"/>
            <color indexed="81"/>
            <rFont val="Tahoma"/>
            <family val="2"/>
          </rPr>
          <t xml:space="preserve">
Added row for Net OPEB 2/17/22</t>
        </r>
      </text>
    </comment>
    <comment ref="DB345" authorId="0" shapeId="0" xr:uid="{33F4F07E-8D3E-4D7D-9CBE-522421652A74}">
      <text>
        <r>
          <rPr>
            <b/>
            <sz val="9"/>
            <color indexed="81"/>
            <rFont val="Tahoma"/>
            <family val="2"/>
          </rPr>
          <t>K Winfield:</t>
        </r>
        <r>
          <rPr>
            <sz val="9"/>
            <color indexed="81"/>
            <rFont val="Tahoma"/>
            <family val="2"/>
          </rPr>
          <t xml:space="preserve">
This is due to rounding, not a true out of balance.  KW 3/7/23</t>
        </r>
      </text>
    </comment>
    <comment ref="DF345" authorId="0" shapeId="0" xr:uid="{D10787AE-FB80-4845-9C21-184E7DC92CCC}">
      <text>
        <r>
          <rPr>
            <b/>
            <sz val="9"/>
            <color indexed="81"/>
            <rFont val="Tahoma"/>
            <family val="2"/>
          </rPr>
          <t>K Winfield:</t>
        </r>
        <r>
          <rPr>
            <sz val="9"/>
            <color indexed="81"/>
            <rFont val="Tahoma"/>
            <family val="2"/>
          </rPr>
          <t xml:space="preserve">
This is due to rounding, not a true out of balance.  KW 3/7/23</t>
        </r>
      </text>
    </comment>
    <comment ref="C347" authorId="0" shapeId="0" xr:uid="{473CD3B8-F621-4028-AEDA-A831262634B7}">
      <text>
        <r>
          <rPr>
            <b/>
            <sz val="9"/>
            <color indexed="81"/>
            <rFont val="Tahoma"/>
            <family val="2"/>
          </rPr>
          <t>K Winfield:</t>
        </r>
        <r>
          <rPr>
            <sz val="9"/>
            <color indexed="81"/>
            <rFont val="Tahoma"/>
            <family val="2"/>
          </rPr>
          <t xml:space="preserve">
AJEs in red have been updated for FY24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dba</author>
    <author>Amy Warner</author>
    <author>Mary Christine Tuck</author>
    <author>K Winfield</author>
    <author>Nadine Chambers</author>
    <author>VITA Program</author>
    <author>Kevin L. Salminen</author>
  </authors>
  <commentList>
    <comment ref="B6" authorId="0" shapeId="0" xr:uid="{00000000-0006-0000-0900-000001000000}">
      <text>
        <r>
          <rPr>
            <sz val="8"/>
            <color indexed="81"/>
            <rFont val="Tahoma"/>
            <family val="2"/>
          </rPr>
          <t>If this submission is a</t>
        </r>
        <r>
          <rPr>
            <b/>
            <sz val="8"/>
            <color indexed="81"/>
            <rFont val="Tahoma"/>
            <family val="2"/>
          </rPr>
          <t xml:space="preserve"> revisio</t>
        </r>
        <r>
          <rPr>
            <sz val="8"/>
            <color indexed="81"/>
            <rFont val="Tahoma"/>
            <family val="2"/>
          </rPr>
          <t xml:space="preserve">n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B17" authorId="1" shapeId="0" xr:uid="{00000000-0006-0000-0900-000002000000}">
      <text>
        <r>
          <rPr>
            <b/>
            <sz val="8"/>
            <color indexed="81"/>
            <rFont val="Tahoma"/>
            <family val="2"/>
          </rPr>
          <t xml:space="preserve">Balance July 1, 2023
</t>
        </r>
        <r>
          <rPr>
            <sz val="8"/>
            <color indexed="81"/>
            <rFont val="Tahoma"/>
            <family val="2"/>
          </rPr>
          <t xml:space="preserve">
These amounts should agree to the prior year June 30 ending balances reflected in part 1a or an explanation should be provided.
</t>
        </r>
      </text>
    </comment>
    <comment ref="E17" authorId="2" shapeId="0" xr:uid="{00000000-0006-0000-0900-000003000000}">
      <text>
        <r>
          <rPr>
            <b/>
            <sz val="8"/>
            <color indexed="81"/>
            <rFont val="Tahoma"/>
            <family val="2"/>
          </rPr>
          <t xml:space="preserve">Balance June 30, 2024
</t>
        </r>
        <r>
          <rPr>
            <sz val="8"/>
            <color indexed="81"/>
            <rFont val="Tahoma"/>
            <family val="2"/>
          </rPr>
          <t>Amounts</t>
        </r>
        <r>
          <rPr>
            <b/>
            <sz val="8"/>
            <color indexed="81"/>
            <rFont val="Tahoma"/>
            <family val="2"/>
          </rPr>
          <t xml:space="preserve"> </t>
        </r>
        <r>
          <rPr>
            <sz val="8"/>
            <color indexed="81"/>
            <rFont val="Tahoma"/>
            <family val="2"/>
          </rPr>
          <t xml:space="preserve">must agree to the total liability "Due Within One Year" </t>
        </r>
        <r>
          <rPr>
            <b/>
            <sz val="8"/>
            <color indexed="81"/>
            <rFont val="Tahoma"/>
            <family val="2"/>
          </rPr>
          <t xml:space="preserve">plus </t>
        </r>
        <r>
          <rPr>
            <sz val="8"/>
            <color indexed="81"/>
            <rFont val="Tahoma"/>
            <family val="2"/>
          </rPr>
          <t xml:space="preserve">the total liability "Due Greater Than One Year" on the Component Unit Template tab. If not, an "error" message will appear.  Review amounts entered and make corrections as deemed necessary.
</t>
        </r>
      </text>
    </comment>
    <comment ref="A21" authorId="3" shapeId="0" xr:uid="{1BE5840E-DEEA-41EE-8048-170003D2F5B8}">
      <text>
        <r>
          <rPr>
            <sz val="9"/>
            <color indexed="81"/>
            <rFont val="Tahoma"/>
            <family val="2"/>
          </rPr>
          <t xml:space="preserve">This line item includes a reference to </t>
        </r>
        <r>
          <rPr>
            <b/>
            <u/>
            <sz val="9"/>
            <color indexed="81"/>
            <rFont val="Tahoma"/>
            <family val="2"/>
          </rPr>
          <t>GASBS No. 94</t>
        </r>
        <r>
          <rPr>
            <sz val="9"/>
            <color indexed="81"/>
            <rFont val="Tahoma"/>
            <family val="2"/>
          </rPr>
          <t xml:space="preserve">.  Please refer to </t>
        </r>
        <r>
          <rPr>
            <b/>
            <u/>
            <sz val="9"/>
            <color indexed="81"/>
            <rFont val="Tahoma"/>
            <family val="2"/>
          </rPr>
          <t>GASBS No. 94</t>
        </r>
        <r>
          <rPr>
            <sz val="9"/>
            <color indexed="81"/>
            <rFont val="Tahoma"/>
            <family val="2"/>
          </rPr>
          <t xml:space="preserve"> for guidance when components of an availability payment arrangement (APA) related to the design, construction, or financing of a nonfinancial asset should be reported as a Financed Purchase Obligation.</t>
        </r>
      </text>
    </comment>
    <comment ref="A22" authorId="3" shapeId="0" xr:uid="{14DEEE7F-C157-4CDE-A2B3-DBC98AE3BBDF}">
      <text>
        <r>
          <rPr>
            <sz val="9"/>
            <color indexed="81"/>
            <rFont val="Tahoma"/>
            <family val="2"/>
          </rPr>
          <t xml:space="preserve">If the Component Unit is the </t>
        </r>
        <r>
          <rPr>
            <b/>
            <sz val="9"/>
            <color indexed="81"/>
            <rFont val="Tahoma"/>
            <family val="2"/>
          </rPr>
          <t>operator</t>
        </r>
        <r>
          <rPr>
            <sz val="9"/>
            <color indexed="81"/>
            <rFont val="Tahoma"/>
            <family val="2"/>
          </rPr>
          <t xml:space="preserve"> in a public-private and/or public-public partnership arrangement (PPP) pursuant to </t>
        </r>
        <r>
          <rPr>
            <b/>
            <u/>
            <sz val="9"/>
            <color indexed="81"/>
            <rFont val="Tahoma"/>
            <family val="2"/>
          </rPr>
          <t>GASBS No. 94</t>
        </r>
        <r>
          <rPr>
            <sz val="9"/>
            <color indexed="81"/>
            <rFont val="Tahoma"/>
            <family val="2"/>
          </rPr>
          <t xml:space="preserve">, refer to </t>
        </r>
        <r>
          <rPr>
            <b/>
            <u/>
            <sz val="9"/>
            <color indexed="81"/>
            <rFont val="Tahoma"/>
            <family val="2"/>
          </rPr>
          <t>GASBS No. 94</t>
        </r>
        <r>
          <rPr>
            <sz val="9"/>
            <color indexed="81"/>
            <rFont val="Tahoma"/>
            <family val="2"/>
          </rPr>
          <t xml:space="preserve"> for guidance regarding the Long-term Operator Payment Liabilities.
</t>
        </r>
      </text>
    </comment>
    <comment ref="B95" authorId="2" shapeId="0" xr:uid="{00000000-0006-0000-0900-000006000000}">
      <text>
        <r>
          <rPr>
            <sz val="8"/>
            <color indexed="81"/>
            <rFont val="Tahoma"/>
            <family val="2"/>
          </rPr>
          <t xml:space="preserve"> 
Total Other Payables Principal Amount must agree to the total bonds payable  amount reported in Part 1 of this tab in the "Other" category. If not, an 'error' message will appear.  Correct amounts as necessary.</t>
        </r>
      </text>
    </comment>
    <comment ref="E95" authorId="2" shapeId="0" xr:uid="{00000000-0006-0000-0900-000007000000}">
      <text>
        <r>
          <rPr>
            <sz val="8"/>
            <color indexed="81"/>
            <rFont val="Tahoma"/>
            <family val="2"/>
          </rPr>
          <t xml:space="preserve">Total Direct Placements Payable Principal Amount must agree to the total bonds payable  amount reported in Part 1 of this tab.  If not, an "error" message will appear.  Correct amounts as necessary.
</t>
        </r>
      </text>
    </comment>
    <comment ref="H95" authorId="2" shapeId="0" xr:uid="{00000000-0006-0000-0900-000008000000}">
      <text>
        <r>
          <rPr>
            <sz val="8"/>
            <color indexed="81"/>
            <rFont val="Tahoma"/>
            <family val="2"/>
          </rPr>
          <t xml:space="preserve">Total Bonds Payable Principal Amount must agree to the total "Due Within One Year" plus the total "Due Greater Than One Year" bonds payable amount reported on the Component Unit Template tab.  If not, an "error" message will appear.  Correct amounts as necessary.
</t>
        </r>
      </text>
    </comment>
    <comment ref="D131" authorId="4" shapeId="0" xr:uid="{00000000-0006-0000-0900-000009000000}">
      <text>
        <r>
          <rPr>
            <b/>
            <sz val="8"/>
            <color indexed="81"/>
            <rFont val="Tahoma"/>
            <family val="2"/>
          </rPr>
          <t xml:space="preserve">Installment Purchases Due Within One Year </t>
        </r>
        <r>
          <rPr>
            <sz val="8"/>
            <color indexed="81"/>
            <rFont val="Tahoma"/>
            <family val="2"/>
          </rPr>
          <t>in Part 1 must agree to the FY2025 principal amount in Part 3.  If not, an "error" message will appear.  Correct amounts as necessary.</t>
        </r>
        <r>
          <rPr>
            <sz val="9"/>
            <color indexed="81"/>
            <rFont val="Tahoma"/>
            <family val="2"/>
          </rPr>
          <t xml:space="preserve">
</t>
        </r>
      </text>
    </comment>
    <comment ref="B148" authorId="2" shapeId="0" xr:uid="{00000000-0006-0000-0900-00000A000000}">
      <text>
        <r>
          <rPr>
            <b/>
            <sz val="8"/>
            <color indexed="81"/>
            <rFont val="Tahoma"/>
            <family val="2"/>
          </rPr>
          <t xml:space="preserve">Total Future Principal Amounts </t>
        </r>
        <r>
          <rPr>
            <sz val="8"/>
            <color indexed="81"/>
            <rFont val="Tahoma"/>
            <family val="2"/>
          </rPr>
          <t>must equal the total of Installment Purchase Obligations Due Within One Year and Installment Purchase Obligations Due Greater Than One Year</t>
        </r>
        <r>
          <rPr>
            <sz val="8"/>
            <color indexed="81"/>
            <rFont val="Tahoma"/>
            <family val="2"/>
          </rPr>
          <t xml:space="preserve"> reported on the Component Unit Template tab.  If not, an "error" message will appear.  Correct  amounts as necessary.</t>
        </r>
      </text>
    </comment>
    <comment ref="F154" authorId="3" shapeId="0" xr:uid="{9105B996-6B61-411E-876F-6E872FA3A53B}">
      <text>
        <r>
          <rPr>
            <b/>
            <sz val="8"/>
            <color indexed="81"/>
            <rFont val="Tahoma"/>
            <family val="2"/>
          </rPr>
          <t>Long-term Lease Liability</t>
        </r>
        <r>
          <rPr>
            <sz val="8"/>
            <color indexed="81"/>
            <rFont val="Tahoma"/>
            <family val="2"/>
          </rPr>
          <t xml:space="preserve"> Due Within One Year in Part 1 should agree to the FY2025 principal amount in Part 4.</t>
        </r>
      </text>
    </comment>
    <comment ref="B175" authorId="2" shapeId="0" xr:uid="{00000000-0006-0000-0900-00000B000000}">
      <text>
        <r>
          <rPr>
            <b/>
            <sz val="8"/>
            <color indexed="81"/>
            <rFont val="Tahoma"/>
            <family val="2"/>
          </rPr>
          <t xml:space="preserve">Total Future Principle Amounts </t>
        </r>
        <r>
          <rPr>
            <sz val="8"/>
            <color indexed="81"/>
            <rFont val="Tahoma"/>
            <family val="2"/>
          </rPr>
          <t>must equal the total of Long-term Lease Liability Due Within One Year and Long-term Lease Liability Due Greater Than One Year reported on the Component Unit Template tab.  If not, an "error" message will appear.  Correct amounts as necessary.</t>
        </r>
      </text>
    </comment>
    <comment ref="F191" authorId="3" shapeId="0" xr:uid="{7BE0FD72-4037-44F5-BD2E-ADC774F75DBB}">
      <text>
        <r>
          <rPr>
            <b/>
            <sz val="8"/>
            <color indexed="81"/>
            <rFont val="Tahoma"/>
            <family val="2"/>
          </rPr>
          <t>Financed Purchase Obligations</t>
        </r>
        <r>
          <rPr>
            <sz val="8"/>
            <color indexed="81"/>
            <rFont val="Tahoma"/>
            <family val="2"/>
          </rPr>
          <t xml:space="preserve"> Due Within One Year in Part 1 should agree to the FY2025 principal amount in Part 5.</t>
        </r>
        <r>
          <rPr>
            <b/>
            <sz val="8"/>
            <color indexed="81"/>
            <rFont val="Tahoma"/>
            <family val="2"/>
          </rPr>
          <t xml:space="preserve"> </t>
        </r>
        <r>
          <rPr>
            <sz val="9"/>
            <color indexed="81"/>
            <rFont val="Tahoma"/>
            <family val="2"/>
          </rPr>
          <t xml:space="preserve">
</t>
        </r>
      </text>
    </comment>
    <comment ref="B212" authorId="2" shapeId="0" xr:uid="{00000000-0006-0000-0900-00000C000000}">
      <text>
        <r>
          <rPr>
            <b/>
            <sz val="8"/>
            <color indexed="81"/>
            <rFont val="Tahoma"/>
            <family val="2"/>
          </rPr>
          <t xml:space="preserve">Total Future Principle Amounts </t>
        </r>
        <r>
          <rPr>
            <sz val="8"/>
            <color indexed="81"/>
            <rFont val="Tahoma"/>
            <family val="2"/>
          </rPr>
          <t>must equal the total of Financed Purchase Obligations Due Within One Year and Financed Purchase Obligations Due Greater Than One Year reported on the Component Unit Template tab.  If not, an "error" message will appear.  Correct amounts as necessary.</t>
        </r>
      </text>
    </comment>
    <comment ref="F218" authorId="3" shapeId="0" xr:uid="{D1BF7800-A95D-40B9-849B-4D1D36D5068D}">
      <text>
        <r>
          <rPr>
            <b/>
            <sz val="8"/>
            <color indexed="81"/>
            <rFont val="Tahoma"/>
            <family val="2"/>
          </rPr>
          <t xml:space="preserve">Long-term Operator Installment Payment Liabilities </t>
        </r>
        <r>
          <rPr>
            <sz val="8"/>
            <color indexed="81"/>
            <rFont val="Tahoma"/>
            <family val="2"/>
          </rPr>
          <t xml:space="preserve">Due Within One Year in Part 1 should agree to the FY2025 principal amount in Part 6. </t>
        </r>
        <r>
          <rPr>
            <sz val="9"/>
            <color indexed="81"/>
            <rFont val="Tahoma"/>
            <family val="2"/>
          </rPr>
          <t xml:space="preserve">
</t>
        </r>
      </text>
    </comment>
    <comment ref="B239" authorId="2" shapeId="0" xr:uid="{6E30A327-CBE9-407E-A6BC-FA5FD76F9914}">
      <text>
        <r>
          <rPr>
            <b/>
            <sz val="8"/>
            <color indexed="81"/>
            <rFont val="Tahoma"/>
            <family val="2"/>
          </rPr>
          <t xml:space="preserve">Total Future Principle Amounts </t>
        </r>
        <r>
          <rPr>
            <sz val="8"/>
            <color indexed="81"/>
            <rFont val="Tahoma"/>
            <family val="2"/>
          </rPr>
          <t>must equal the total of Long-term Operator Installment Payment Liability Due Within One Year and Long-term Operator Installment Payment Liability Due Greater Than One Year reported on the Component Unit Template tab.  If not, an "error" message will appear.  Correct amounts as necessary.</t>
        </r>
      </text>
    </comment>
    <comment ref="F251" authorId="3" shapeId="0" xr:uid="{28B0C7EA-26F5-4A41-93E3-ED6C0AEB6460}">
      <text>
        <r>
          <rPr>
            <b/>
            <sz val="8"/>
            <color indexed="81"/>
            <rFont val="Tahoma"/>
            <family val="2"/>
          </rPr>
          <t>Long-term Subscription-based Information Technology Arrangements Liabilities</t>
        </r>
        <r>
          <rPr>
            <sz val="8"/>
            <color indexed="81"/>
            <rFont val="Tahoma"/>
            <family val="2"/>
          </rPr>
          <t xml:space="preserve"> Due Within One Year in Part 1 should agree to the FY2025 principal amount in Part 7. </t>
        </r>
        <r>
          <rPr>
            <sz val="9"/>
            <color indexed="81"/>
            <rFont val="Tahoma"/>
            <family val="2"/>
          </rPr>
          <t xml:space="preserve">
</t>
        </r>
      </text>
    </comment>
    <comment ref="B272" authorId="2" shapeId="0" xr:uid="{8DC55936-CB59-468B-8552-731A5E134161}">
      <text>
        <r>
          <rPr>
            <b/>
            <sz val="8"/>
            <color indexed="81"/>
            <rFont val="Tahoma"/>
            <family val="2"/>
          </rPr>
          <t xml:space="preserve">Total Future Principle Amounts </t>
        </r>
        <r>
          <rPr>
            <sz val="8"/>
            <color indexed="81"/>
            <rFont val="Tahoma"/>
            <family val="2"/>
          </rPr>
          <t>must equal the total of Long-term SBITA Liability Due Within One Year and Long-term SBITA Liability Due Greater Than One Year reported on the Component Unit Template tab.  If not, an "error" message will appear.  Correct amounts as necessary.</t>
        </r>
      </text>
    </comment>
    <comment ref="D288" authorId="5" shapeId="0" xr:uid="{00000000-0006-0000-0900-00000D000000}">
      <text>
        <r>
          <rPr>
            <b/>
            <sz val="8"/>
            <color indexed="81"/>
            <rFont val="Tahoma"/>
            <family val="2"/>
          </rPr>
          <t>Notes Payable Due Within One Year</t>
        </r>
        <r>
          <rPr>
            <sz val="8"/>
            <color indexed="81"/>
            <rFont val="Tahoma"/>
            <family val="2"/>
          </rPr>
          <t xml:space="preserve"> in Part 1 must agree to the FY2025 principal amount in Part 8.  If not, an "error" message will appear.  Correct amounts as necessary.</t>
        </r>
      </text>
    </comment>
    <comment ref="B305" authorId="6" shapeId="0" xr:uid="{00000000-0006-0000-0900-00000E000000}">
      <text>
        <r>
          <rPr>
            <b/>
            <sz val="8"/>
            <color indexed="81"/>
            <rFont val="Tahoma"/>
            <family val="2"/>
          </rPr>
          <t xml:space="preserve">Total Future Principle Amounts </t>
        </r>
        <r>
          <rPr>
            <sz val="8"/>
            <color indexed="81"/>
            <rFont val="Tahoma"/>
            <family val="2"/>
          </rPr>
          <t>must equal the total of Notes Payable Due Within One Year and Notes Payable Due Greater Than One Year reported on the Component Unit Template tab.  If not, an "error" message will appear.  Correct amounts as necessary.</t>
        </r>
        <r>
          <rPr>
            <sz val="7"/>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dba</author>
    <author>Esther Kim, DOA</author>
  </authors>
  <commentList>
    <comment ref="B6" authorId="0" shapeId="0" xr:uid="{00000000-0006-0000-0A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I33" authorId="1" shapeId="0" xr:uid="{00000000-0006-0000-0A00-000002000000}">
      <text>
        <r>
          <rPr>
            <b/>
            <sz val="8"/>
            <color indexed="81"/>
            <rFont val="Tahoma"/>
            <family val="2"/>
          </rPr>
          <t xml:space="preserve">Short-term Debt </t>
        </r>
        <r>
          <rPr>
            <sz val="8"/>
            <color indexed="81"/>
            <rFont val="Tahoma"/>
            <family val="2"/>
          </rPr>
          <t>must agree to the amount reported on the Statement of Net Position template. If not, an "error" message will appear.  Correct amounts as necessary.</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7" authorId="0" shapeId="0" xr:uid="{00000000-0006-0000-0B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dba</author>
    <author>K Winfield</author>
  </authors>
  <commentList>
    <comment ref="D6" authorId="0" shapeId="0" xr:uid="{00000000-0006-0000-0C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D34" authorId="1" shapeId="0" xr:uid="{443608BB-69D2-4489-8586-53921282F7A4}">
      <text>
        <r>
          <rPr>
            <b/>
            <sz val="8"/>
            <color indexed="81"/>
            <rFont val="Tahoma"/>
            <family val="2"/>
          </rPr>
          <t xml:space="preserve">Beginning Net Position Balance </t>
        </r>
        <r>
          <rPr>
            <sz val="8"/>
            <color indexed="81"/>
            <rFont val="Tahoma"/>
            <family val="2"/>
          </rPr>
          <t xml:space="preserve">on the Statement of Activities is linked to this cell.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D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E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Rusty</author>
  </authors>
  <commentList>
    <comment ref="B6" authorId="0" shapeId="0" xr:uid="{00000000-0006-0000-0F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TAB.</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Susan Livesay</author>
    <author>Kevin L. Salminen</author>
    <author>Christy Tuck</author>
  </authors>
  <commentList>
    <comment ref="B6" authorId="0" shapeId="0" xr:uid="{00000000-0006-0000-1000-000001000000}">
      <text>
        <r>
          <rPr>
            <sz val="8"/>
            <color indexed="81"/>
            <rFont val="Tahoma"/>
            <family val="2"/>
          </rPr>
          <t xml:space="preserve">If this submission is a </t>
        </r>
        <r>
          <rPr>
            <b/>
            <sz val="8"/>
            <color indexed="81"/>
            <rFont val="Tahoma"/>
            <family val="2"/>
          </rPr>
          <t xml:space="preserve">revision </t>
        </r>
        <r>
          <rPr>
            <sz val="8"/>
            <color indexed="81"/>
            <rFont val="Tahoma"/>
            <family val="2"/>
          </rPr>
          <t xml:space="preserve">to a previous submission for which DOA acknowledged receipt and acceptance, COMPLETE THE </t>
        </r>
        <r>
          <rPr>
            <b/>
            <sz val="8"/>
            <color indexed="81"/>
            <rFont val="Tahoma"/>
            <family val="2"/>
          </rPr>
          <t>REVISION CONTROL TAB.</t>
        </r>
        <r>
          <rPr>
            <sz val="8"/>
            <color indexed="81"/>
            <rFont val="Tahoma"/>
            <family val="2"/>
          </rPr>
          <t xml:space="preserve">
</t>
        </r>
      </text>
    </comment>
    <comment ref="B15" authorId="1" shapeId="0" xr:uid="{00000000-0006-0000-1000-000002000000}">
      <text>
        <r>
          <rPr>
            <b/>
            <sz val="8"/>
            <color indexed="81"/>
            <rFont val="Tahoma"/>
            <family val="2"/>
          </rPr>
          <t xml:space="preserve">Total Capital Assets:  
</t>
        </r>
        <r>
          <rPr>
            <sz val="8"/>
            <color indexed="81"/>
            <rFont val="Tahoma"/>
            <family val="2"/>
          </rPr>
          <t xml:space="preserve">This is the sum of nondepreciable and Other Capital Assets, Net on the template. Total capital assets include nondepreciable capital assets reported on the template including intangible assets as required by </t>
        </r>
        <r>
          <rPr>
            <b/>
            <u/>
            <sz val="8"/>
            <color indexed="81"/>
            <rFont val="Tahoma"/>
            <family val="2"/>
          </rPr>
          <t>GASBS No. 51</t>
        </r>
        <r>
          <rPr>
            <u/>
            <sz val="8"/>
            <color indexed="81"/>
            <rFont val="Tahoma"/>
            <family val="2"/>
          </rPr>
          <t xml:space="preserve"> </t>
        </r>
        <r>
          <rPr>
            <sz val="8"/>
            <color indexed="81"/>
            <rFont val="Tahoma"/>
            <family val="2"/>
          </rPr>
          <t xml:space="preserve">and right-to-use amortized intangible assets required by </t>
        </r>
        <r>
          <rPr>
            <b/>
            <u/>
            <sz val="8"/>
            <color indexed="81"/>
            <rFont val="Tahoma"/>
            <family val="2"/>
          </rPr>
          <t>GASBS No. 87</t>
        </r>
        <r>
          <rPr>
            <sz val="8"/>
            <color indexed="81"/>
            <rFont val="Tahoma"/>
            <family val="2"/>
          </rPr>
          <t xml:space="preserve">, </t>
        </r>
        <r>
          <rPr>
            <b/>
            <u/>
            <sz val="8"/>
            <color indexed="81"/>
            <rFont val="Tahoma"/>
            <family val="2"/>
          </rPr>
          <t>GASBS No. 94</t>
        </r>
        <r>
          <rPr>
            <sz val="8"/>
            <color indexed="81"/>
            <rFont val="Tahoma"/>
            <family val="2"/>
          </rPr>
          <t xml:space="preserve">, and </t>
        </r>
        <r>
          <rPr>
            <b/>
            <u/>
            <sz val="8"/>
            <color indexed="81"/>
            <rFont val="Tahoma"/>
            <family val="2"/>
          </rPr>
          <t>GASBS No. 96</t>
        </r>
        <r>
          <rPr>
            <sz val="8"/>
            <color indexed="81"/>
            <rFont val="Tahoma"/>
            <family val="2"/>
          </rPr>
          <t>.</t>
        </r>
      </text>
    </comment>
    <comment ref="D32" authorId="2" shapeId="0" xr:uid="{00000000-0006-0000-1000-000003000000}">
      <text>
        <r>
          <rPr>
            <sz val="8.5"/>
            <color indexed="81"/>
            <rFont val="Tahoma"/>
            <family val="2"/>
          </rPr>
          <t xml:space="preserve">If an amount is provided for unspent proceeds on debt related to capital assets, do the unspent proceeds on debt exclude investment earnings? (Yes, No, or N/A)
</t>
        </r>
      </text>
    </comment>
    <comment ref="B46" authorId="1" shapeId="0" xr:uid="{00000000-0006-0000-1000-000004000000}">
      <text>
        <r>
          <rPr>
            <b/>
            <sz val="8"/>
            <color indexed="81"/>
            <rFont val="Tahoma"/>
            <family val="2"/>
          </rPr>
          <t xml:space="preserve">Net Investment in Capital Assets </t>
        </r>
        <r>
          <rPr>
            <sz val="8"/>
            <color indexed="81"/>
            <rFont val="Tahoma"/>
            <family val="2"/>
          </rPr>
          <t xml:space="preserve">must agree to the amount reported on the "Net Investment in Capital Assets" line item on the template.  If not, an "error" message will appear.  Make corrections as deemed necessary.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dba</author>
    <author>Christy Tuck</author>
    <author>Hannah Goodman</author>
    <author>K Winfield</author>
    <author>Kevin L. Salminen</author>
  </authors>
  <commentList>
    <comment ref="G6" authorId="0" shapeId="0" xr:uid="{00000000-0006-0000-00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O34" authorId="1" shapeId="0" xr:uid="{00000000-0006-0000-0000-000002000000}">
      <text>
        <r>
          <rPr>
            <sz val="8"/>
            <color indexed="81"/>
            <rFont val="Tahoma"/>
            <family val="2"/>
          </rPr>
          <t xml:space="preserve">Increases or decreases greater than $9,900,000 </t>
        </r>
        <r>
          <rPr>
            <u/>
            <sz val="8"/>
            <color indexed="81"/>
            <rFont val="Tahoma"/>
            <family val="2"/>
          </rPr>
          <t>and</t>
        </r>
        <r>
          <rPr>
            <sz val="8"/>
            <color indexed="81"/>
            <rFont val="Tahoma"/>
            <family val="2"/>
          </rPr>
          <t xml:space="preserve"> 10% 
</t>
        </r>
        <r>
          <rPr>
            <b/>
            <sz val="8"/>
            <color indexed="81"/>
            <rFont val="Tahoma"/>
            <family val="2"/>
          </rPr>
          <t>OR</t>
        </r>
        <r>
          <rPr>
            <sz val="8"/>
            <color indexed="81"/>
            <rFont val="Tahoma"/>
            <family val="2"/>
          </rPr>
          <t xml:space="preserve"> 
Increases or decreases greater than $19,800,000 (regardless of percentage change)</t>
        </r>
      </text>
    </comment>
    <comment ref="K54" authorId="2" shapeId="0" xr:uid="{00000000-0006-0000-0000-000003000000}">
      <text>
        <r>
          <rPr>
            <b/>
            <sz val="9"/>
            <color indexed="81"/>
            <rFont val="Tahoma"/>
            <family val="2"/>
          </rPr>
          <t>Include LGIP EM</t>
        </r>
      </text>
    </comment>
    <comment ref="K63" authorId="3" shapeId="0" xr:uid="{200AFBC7-79CF-4B38-8D4D-0269C14D3DA3}">
      <text>
        <r>
          <rPr>
            <b/>
            <sz val="8"/>
            <color indexed="81"/>
            <rFont val="Tahoma"/>
            <family val="2"/>
          </rPr>
          <t>Other Receivables, net:</t>
        </r>
        <r>
          <rPr>
            <sz val="9"/>
            <color indexed="81"/>
            <rFont val="Tahoma"/>
            <family val="2"/>
          </rPr>
          <t xml:space="preserve">
</t>
        </r>
        <r>
          <rPr>
            <sz val="8"/>
            <color indexed="81"/>
            <rFont val="Tahoma"/>
            <family val="2"/>
          </rPr>
          <t>Include Lease Receivables (</t>
        </r>
        <r>
          <rPr>
            <b/>
            <u/>
            <sz val="8"/>
            <color indexed="81"/>
            <rFont val="Tahoma"/>
            <family val="2"/>
          </rPr>
          <t>GASBS No. 87</t>
        </r>
        <r>
          <rPr>
            <sz val="8"/>
            <color indexed="81"/>
            <rFont val="Tahoma"/>
            <family val="2"/>
          </rPr>
          <t>)</t>
        </r>
      </text>
    </comment>
    <comment ref="K68" authorId="4" shapeId="0" xr:uid="{00000000-0006-0000-0000-000004000000}">
      <text>
        <r>
          <rPr>
            <b/>
            <sz val="8"/>
            <color indexed="81"/>
            <rFont val="Tahoma"/>
            <family val="2"/>
          </rPr>
          <t xml:space="preserve">Due from Primary Government </t>
        </r>
        <r>
          <rPr>
            <b/>
            <u/>
            <sz val="8"/>
            <color indexed="81"/>
            <rFont val="Tahoma"/>
            <family val="2"/>
          </rPr>
          <t>AND</t>
        </r>
        <r>
          <rPr>
            <b/>
            <sz val="8"/>
            <color indexed="81"/>
            <rFont val="Tahoma"/>
            <family val="2"/>
          </rPr>
          <t xml:space="preserve">
Due from Component Units:
</t>
        </r>
        <r>
          <rPr>
            <sz val="8"/>
            <color indexed="81"/>
            <rFont val="Tahoma"/>
            <family val="2"/>
          </rPr>
          <t>Identify offsetting entity for the "Due From" in the yellow box to the side of the template line item.  DOA may contact the component unit if more information is needed.</t>
        </r>
      </text>
    </comment>
    <comment ref="K101" authorId="2" shapeId="0" xr:uid="{00000000-0006-0000-0000-000005000000}">
      <text>
        <r>
          <rPr>
            <b/>
            <sz val="9"/>
            <color indexed="81"/>
            <rFont val="Tahoma"/>
            <family val="2"/>
          </rPr>
          <t>Include LGIP EM, if restricted</t>
        </r>
      </text>
    </comment>
    <comment ref="P130" authorId="4" shapeId="0" xr:uid="{00000000-0006-0000-0000-000006000000}">
      <text>
        <r>
          <rPr>
            <b/>
            <sz val="8"/>
            <color indexed="81"/>
            <rFont val="Tahoma"/>
            <family val="2"/>
          </rPr>
          <t>Notes:</t>
        </r>
        <r>
          <rPr>
            <sz val="8"/>
            <color indexed="81"/>
            <rFont val="Tahoma"/>
            <family val="2"/>
          </rPr>
          <t xml:space="preserve">  Provide any fluctuation explanations in a Microsoft Word document and submit with this template.</t>
        </r>
        <r>
          <rPr>
            <sz val="7"/>
            <color indexed="81"/>
            <rFont val="Tahoma"/>
            <family val="2"/>
          </rPr>
          <t xml:space="preserve">
</t>
        </r>
      </text>
    </comment>
    <comment ref="K140" authorId="4" shapeId="0" xr:uid="{00000000-0006-0000-0000-000007000000}">
      <text>
        <r>
          <rPr>
            <b/>
            <sz val="8"/>
            <color indexed="81"/>
            <rFont val="Tahoma"/>
            <family val="2"/>
          </rPr>
          <t xml:space="preserve">Due to Component Units </t>
        </r>
        <r>
          <rPr>
            <b/>
            <u/>
            <sz val="8"/>
            <color indexed="81"/>
            <rFont val="Tahoma"/>
            <family val="2"/>
          </rPr>
          <t>AND</t>
        </r>
        <r>
          <rPr>
            <b/>
            <sz val="8"/>
            <color indexed="81"/>
            <rFont val="Tahoma"/>
            <family val="2"/>
          </rPr>
          <t xml:space="preserve"> Due to Primary Government:
</t>
        </r>
        <r>
          <rPr>
            <sz val="8"/>
            <color indexed="81"/>
            <rFont val="Tahoma"/>
            <family val="2"/>
          </rPr>
          <t>Identify the offsetting entity for the "Due To" in the yellow box to the side of the template line item.  DOA may contact the component unit if more information is needed.</t>
        </r>
      </text>
    </comment>
    <comment ref="K215" authorId="4" shapeId="0" xr:uid="{00000000-0006-0000-0000-00000A000000}">
      <text>
        <r>
          <rPr>
            <b/>
            <sz val="8"/>
            <color indexed="81"/>
            <rFont val="Tahoma"/>
            <family val="2"/>
          </rPr>
          <t>Total Net Position</t>
        </r>
        <r>
          <rPr>
            <sz val="8"/>
            <color indexed="81"/>
            <rFont val="Tahoma"/>
            <family val="2"/>
          </rPr>
          <t xml:space="preserve">
Assets plus Deferred Outflows of Resources minus Liabilities plus Deferred Inflows of Resources must equal Total Net Position.  If amounts do not agree, an "error" message will appear. Correct as necessary.</t>
        </r>
      </text>
    </comment>
    <comment ref="P224" authorId="4" shapeId="0" xr:uid="{00000000-0006-0000-0000-00000B000000}">
      <text>
        <r>
          <rPr>
            <b/>
            <sz val="8"/>
            <color indexed="81"/>
            <rFont val="Tahoma"/>
            <family val="2"/>
          </rPr>
          <t>Notes:</t>
        </r>
        <r>
          <rPr>
            <sz val="8"/>
            <color indexed="81"/>
            <rFont val="Tahoma"/>
            <family val="2"/>
          </rPr>
          <t xml:space="preserve">  Provide any fluctuation explanations in a Microsoft Word document and submit with this template.</t>
        </r>
        <r>
          <rPr>
            <sz val="7"/>
            <color indexed="81"/>
            <rFont val="Tahoma"/>
            <family val="2"/>
          </rPr>
          <t xml:space="preserve">
</t>
        </r>
      </text>
    </comment>
    <comment ref="K251" authorId="4" shapeId="0" xr:uid="{00000000-0006-0000-0000-00000C000000}">
      <text>
        <r>
          <rPr>
            <b/>
            <sz val="8"/>
            <color indexed="81"/>
            <rFont val="Tahoma"/>
            <family val="2"/>
          </rPr>
          <t xml:space="preserve">Special Items
</t>
        </r>
        <r>
          <rPr>
            <sz val="8"/>
            <color indexed="81"/>
            <rFont val="Tahoma"/>
            <family val="2"/>
          </rPr>
          <t xml:space="preserve">Significant transactions or events within management's control that are </t>
        </r>
        <r>
          <rPr>
            <b/>
            <i/>
            <sz val="8"/>
            <color indexed="81"/>
            <rFont val="Tahoma"/>
            <family val="2"/>
          </rPr>
          <t>either</t>
        </r>
        <r>
          <rPr>
            <sz val="8"/>
            <color indexed="81"/>
            <rFont val="Tahoma"/>
            <family val="2"/>
          </rPr>
          <t xml:space="preserve"> unusual in nature </t>
        </r>
        <r>
          <rPr>
            <b/>
            <i/>
            <sz val="8"/>
            <color indexed="81"/>
            <rFont val="Tahoma"/>
            <family val="2"/>
          </rPr>
          <t>or</t>
        </r>
        <r>
          <rPr>
            <sz val="8"/>
            <color indexed="81"/>
            <rFont val="Tahoma"/>
            <family val="2"/>
          </rPr>
          <t xml:space="preserve"> infrequent in occurrence should be classified as special items.</t>
        </r>
        <r>
          <rPr>
            <sz val="7"/>
            <color indexed="81"/>
            <rFont val="Tahoma"/>
            <family val="2"/>
          </rPr>
          <t xml:space="preserve">
</t>
        </r>
      </text>
    </comment>
    <comment ref="K252" authorId="4" shapeId="0" xr:uid="{00000000-0006-0000-0000-00000D000000}">
      <text>
        <r>
          <rPr>
            <b/>
            <sz val="8"/>
            <color indexed="81"/>
            <rFont val="Tahoma"/>
            <family val="2"/>
          </rPr>
          <t>Extraordinary Items</t>
        </r>
        <r>
          <rPr>
            <sz val="8"/>
            <color indexed="81"/>
            <rFont val="Tahoma"/>
            <family val="2"/>
          </rPr>
          <t xml:space="preserve">
Transactions or events not within management's control that are </t>
        </r>
        <r>
          <rPr>
            <b/>
            <i/>
            <sz val="8"/>
            <color indexed="81"/>
            <rFont val="Tahoma"/>
            <family val="2"/>
          </rPr>
          <t>both</t>
        </r>
        <r>
          <rPr>
            <sz val="8"/>
            <color indexed="81"/>
            <rFont val="Tahoma"/>
            <family val="2"/>
          </rPr>
          <t xml:space="preserve"> unusual in nature and infrequent in occurrence should be classified as extraordinary items.</t>
        </r>
        <r>
          <rPr>
            <sz val="7"/>
            <color indexed="81"/>
            <rFont val="Tahoma"/>
            <family val="2"/>
          </rPr>
          <t xml:space="preserve">
</t>
        </r>
      </text>
    </comment>
    <comment ref="K261" authorId="4" shapeId="0" xr:uid="{00000000-0006-0000-0000-00000E000000}">
      <text>
        <r>
          <rPr>
            <b/>
            <sz val="8"/>
            <color indexed="81"/>
            <rFont val="Tahoma"/>
            <family val="2"/>
          </rPr>
          <t xml:space="preserve">Net Position-Beginning:
</t>
        </r>
        <r>
          <rPr>
            <sz val="8"/>
            <color indexed="81"/>
            <rFont val="Tahoma"/>
            <family val="2"/>
          </rPr>
          <t>This cell is linked to Tab 6 - Restatements.  If a beginning net position restatement exists, complete Tab 6.</t>
        </r>
      </text>
    </comment>
    <comment ref="K263" authorId="4" shapeId="0" xr:uid="{00000000-0006-0000-0000-00000F000000}">
      <text>
        <r>
          <rPr>
            <b/>
            <sz val="8"/>
            <color indexed="81"/>
            <rFont val="Tahoma"/>
            <family val="2"/>
          </rPr>
          <t xml:space="preserve">Ending Net Position 
</t>
        </r>
        <r>
          <rPr>
            <sz val="8"/>
            <color indexed="81"/>
            <rFont val="Tahoma"/>
            <family val="2"/>
          </rPr>
          <t xml:space="preserve">Ending Net Position must equal Total Net Position on the Statement of Net Position.  If not, an "error" message will appear.  Review amounts entered and correct as necessary.  
</t>
        </r>
        <r>
          <rPr>
            <b/>
            <u/>
            <sz val="8"/>
            <color indexed="81"/>
            <rFont val="Tahoma"/>
            <family val="2"/>
          </rPr>
          <t>Note</t>
        </r>
        <r>
          <rPr>
            <b/>
            <sz val="8"/>
            <color indexed="81"/>
            <rFont val="Tahoma"/>
            <family val="2"/>
          </rPr>
          <t>:</t>
        </r>
        <r>
          <rPr>
            <sz val="8"/>
            <color indexed="81"/>
            <rFont val="Tahoma"/>
            <family val="2"/>
          </rPr>
          <t xml:space="preserve">  Complete Tab 8 - Miscellaneous, Section 5 if amount is negative.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D6" authorId="0" shapeId="0" xr:uid="{00000000-0006-0000-02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Amy Warner</author>
    <author>Rusty</author>
    <author>Wai Levy</author>
    <author>Kevin L. Salminen</author>
    <author>Jun Qiao</author>
  </authors>
  <commentList>
    <comment ref="C6" authorId="0" shapeId="0" xr:uid="{00000000-0006-0000-03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H31" authorId="1" shapeId="0" xr:uid="{00000000-0006-0000-0300-000002000000}">
      <text>
        <r>
          <rPr>
            <sz val="8"/>
            <color indexed="81"/>
            <rFont val="Tahoma"/>
            <family val="2"/>
          </rPr>
          <t>Linked to the Component Unit Template Unrestricted cash held with the Treasurer of Virginia.</t>
        </r>
      </text>
    </comment>
    <comment ref="H32" authorId="1" shapeId="0" xr:uid="{00000000-0006-0000-0300-000003000000}">
      <text>
        <r>
          <rPr>
            <sz val="8"/>
            <color indexed="81"/>
            <rFont val="Tahoma"/>
            <family val="2"/>
          </rPr>
          <t>Linked to the Component Unit Template Restricted Cash held with the Treasurer of Virginia.</t>
        </r>
      </text>
    </comment>
    <comment ref="H38" authorId="2" shapeId="0" xr:uid="{00000000-0006-0000-0300-000004000000}">
      <text>
        <r>
          <rPr>
            <sz val="8"/>
            <color indexed="81"/>
            <rFont val="Tahoma"/>
            <family val="2"/>
          </rPr>
          <t xml:space="preserve">Linked to the Component Unit Template Unrestricted Cash NOT held with the Treasurer of Virginia. </t>
        </r>
      </text>
    </comment>
    <comment ref="H62" authorId="3" shapeId="0" xr:uid="{00000000-0006-0000-0300-000005000000}">
      <text>
        <r>
          <rPr>
            <sz val="9"/>
            <color indexed="81"/>
            <rFont val="Tahoma"/>
            <family val="2"/>
          </rPr>
          <t>This is the sum of 3a, 3b, &amp; 3c.  It should agree to the amount reported in 2.2 above.</t>
        </r>
        <r>
          <rPr>
            <sz val="8"/>
            <color indexed="81"/>
            <rFont val="Tahoma"/>
            <family val="2"/>
          </rPr>
          <t xml:space="preserve">
</t>
        </r>
      </text>
    </comment>
    <comment ref="H67" authorId="1" shapeId="0" xr:uid="{00000000-0006-0000-0300-000006000000}">
      <text>
        <r>
          <rPr>
            <sz val="8"/>
            <color indexed="81"/>
            <rFont val="Tahoma"/>
            <family val="2"/>
          </rPr>
          <t>Linked to the Component Unit Template Restricted Cash NOT held with the Treasurer of Virginia.</t>
        </r>
      </text>
    </comment>
    <comment ref="H92" authorId="3" shapeId="0" xr:uid="{00000000-0006-0000-0300-000007000000}">
      <text>
        <r>
          <rPr>
            <sz val="9"/>
            <color indexed="81"/>
            <rFont val="Tahoma"/>
            <family val="2"/>
          </rPr>
          <t>This is the sum of 5a, 5b, &amp; 5c. It should agree to the amount reported in 4.2 above.</t>
        </r>
        <r>
          <rPr>
            <sz val="8"/>
            <color indexed="81"/>
            <rFont val="Tahoma"/>
            <family val="2"/>
          </rPr>
          <t xml:space="preserve">
</t>
        </r>
      </text>
    </comment>
    <comment ref="H131" authorId="1" shapeId="0" xr:uid="{00000000-0006-0000-0300-000008000000}">
      <text>
        <r>
          <rPr>
            <sz val="8"/>
            <color indexed="81"/>
            <rFont val="Tahoma"/>
            <family val="2"/>
          </rPr>
          <t xml:space="preserve">If total does not agree with the amount reported on the Component Unit Template an "ERROR" message will appear. Make corrections as necessary.
</t>
        </r>
      </text>
    </comment>
    <comment ref="H139" authorId="1" shapeId="0" xr:uid="{00000000-0006-0000-0300-000009000000}">
      <text>
        <r>
          <rPr>
            <sz val="8"/>
            <color indexed="81"/>
            <rFont val="Tahoma"/>
            <family val="2"/>
          </rPr>
          <t xml:space="preserve">If total does not agree with the amount reported on the Component Unit Template an "ERROR" message will appear. Make corrections as necessary.
</t>
        </r>
      </text>
    </comment>
    <comment ref="H147" authorId="1" shapeId="0" xr:uid="{00000000-0006-0000-0300-00000A000000}">
      <text>
        <r>
          <rPr>
            <sz val="8"/>
            <color indexed="81"/>
            <rFont val="Tahoma"/>
            <family val="2"/>
          </rPr>
          <t xml:space="preserve">If total does not agree with the amount reported on the Component Unit Template an "ERROR" message will appear. Make corrections as necessary.
</t>
        </r>
      </text>
    </comment>
    <comment ref="H155" authorId="1" shapeId="0" xr:uid="{00000000-0006-0000-0300-00000B000000}">
      <text>
        <r>
          <rPr>
            <sz val="8"/>
            <color indexed="81"/>
            <rFont val="Tahoma"/>
            <family val="2"/>
          </rPr>
          <t xml:space="preserve">If total does not agree with the amount reported on the Component Unit Template an "ERROR" message will appear. Make corrections as necessary.
</t>
        </r>
      </text>
    </comment>
    <comment ref="E181" authorId="1" shapeId="0" xr:uid="{00000000-0006-0000-0300-00000C000000}">
      <text>
        <r>
          <rPr>
            <sz val="8"/>
            <color indexed="81"/>
            <rFont val="Tahoma"/>
            <family val="2"/>
          </rPr>
          <t>This total should agree to the Unrestricted LGIP cash equivalents as reported on the Component Unit Template. If it does not agree an "ERROR" message will appear. Make necessary corrections.</t>
        </r>
      </text>
    </comment>
    <comment ref="F181" authorId="4" shapeId="0" xr:uid="{00000000-0006-0000-0300-00000D000000}">
      <text>
        <r>
          <rPr>
            <sz val="8"/>
            <color indexed="81"/>
            <rFont val="Tahoma"/>
            <family val="2"/>
          </rPr>
          <t>Total LGIP EM should be reported on the unrestricted "Investments with the Treasurer of Virginia" line on the Component Unit Template. If total does not agree with the LGIP EM amount reported in Part 8c above, an "ERROR" message will appear. Make necessary corrections.</t>
        </r>
      </text>
    </comment>
    <comment ref="E206" authorId="1" shapeId="0" xr:uid="{00000000-0006-0000-0300-00000E000000}">
      <text>
        <r>
          <rPr>
            <sz val="8"/>
            <color indexed="81"/>
            <rFont val="Tahoma"/>
            <family val="2"/>
          </rPr>
          <t>This total should agree to the Restricted LGIP cash equivalents as reported on the Component Unit Template. If it does not agree an "ERROR" message will appear. Make necessary corrections.</t>
        </r>
      </text>
    </comment>
    <comment ref="F206" authorId="4" shapeId="0" xr:uid="{00000000-0006-0000-0300-00000F000000}">
      <text>
        <r>
          <rPr>
            <sz val="8"/>
            <color indexed="81"/>
            <rFont val="Tahoma"/>
            <family val="2"/>
          </rPr>
          <t>Restricted LGIP EM should be reported on the "Restricted Investments with the Treasurer of Virginia" line on the Component Unit Template. If total does not agree with the Restricted LGIP EM amount reported in Part 8d above, an "ERROR" message will appear. Make necessary corrections.</t>
        </r>
        <r>
          <rPr>
            <sz val="9"/>
            <color indexed="81"/>
            <rFont val="Tahoma"/>
            <family val="2"/>
          </rPr>
          <t xml:space="preserve">
</t>
        </r>
      </text>
    </comment>
    <comment ref="F230" authorId="1" shapeId="0" xr:uid="{00000000-0006-0000-0300-000010000000}">
      <text>
        <r>
          <rPr>
            <sz val="8"/>
            <color indexed="81"/>
            <rFont val="Tahoma"/>
            <family val="2"/>
          </rPr>
          <t>This total Unrestricted SNAP Pool Funds should agree to the amount reported as Unrestricted SNAP Pool Funds on the Component Unit Template. If it does not agree an "ERROR" message will appear. Make necessary corrections.</t>
        </r>
      </text>
    </comment>
    <comment ref="F254" authorId="1" shapeId="0" xr:uid="{00000000-0006-0000-0300-000011000000}">
      <text>
        <r>
          <rPr>
            <sz val="8"/>
            <color indexed="81"/>
            <rFont val="Tahoma"/>
            <family val="2"/>
          </rPr>
          <t>This total Restricted SNAP Pool Funds should agree to the amount reported as Restricted SNAP Pool Funds on the Component Unit Template. If it does not agree an "ERROR" message will appear. Make necessary corrections.</t>
        </r>
      </text>
    </comment>
    <comment ref="F278" authorId="1" shapeId="0" xr:uid="{00000000-0006-0000-0300-000012000000}">
      <text>
        <r>
          <rPr>
            <sz val="8"/>
            <color indexed="81"/>
            <rFont val="Tahoma"/>
            <family val="2"/>
          </rPr>
          <t>This total should agree to the sum of Unrestricted SNAP Individual Portfolio cash equivalents and Unrestricted SNAP Individual Portfolio investments as reported on the Component Unit Template. If it does not agree an "ERROR" message will appear. Make necessary corrections.</t>
        </r>
      </text>
    </comment>
    <comment ref="F302" authorId="1" shapeId="0" xr:uid="{00000000-0006-0000-0300-000013000000}">
      <text>
        <r>
          <rPr>
            <sz val="8"/>
            <color indexed="81"/>
            <rFont val="Tahoma"/>
            <family val="2"/>
          </rPr>
          <t>This total should agree to the sum of Restricted SNAP Individual Portfolio cash equivalents and Restricted SNAP Individual Portfolio investments as reported on the Component Unit Template. If it does not agree an "ERROR" message will appear. Make necessary corrections.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Amy Warner</author>
    <author>Aneri Patel</author>
  </authors>
  <commentList>
    <comment ref="C7" authorId="0" shapeId="0" xr:uid="{00000000-0006-0000-0400-000001000000}">
      <text>
        <r>
          <rPr>
            <sz val="8"/>
            <color indexed="81"/>
            <rFont val="Tahoma"/>
            <family val="2"/>
          </rPr>
          <t xml:space="preserve">If this submission is a </t>
        </r>
        <r>
          <rPr>
            <b/>
            <sz val="8"/>
            <color indexed="81"/>
            <rFont val="Tahoma"/>
            <family val="2"/>
          </rPr>
          <t xml:space="preserve">revision </t>
        </r>
        <r>
          <rPr>
            <sz val="8"/>
            <color indexed="81"/>
            <rFont val="Tahoma"/>
            <family val="2"/>
          </rPr>
          <t xml:space="preserve">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K10" authorId="1" shapeId="0" xr:uid="{00000000-0006-0000-0400-000002000000}">
      <text>
        <r>
          <rPr>
            <sz val="10"/>
            <color indexed="81"/>
            <rFont val="Tahoma"/>
            <family val="2"/>
          </rPr>
          <t xml:space="preserve">Commonly used ratings of Moody's, S&amp;P, and Fitch are provided in each credit rating column. If the agency has debt securities rated by one of the rating agencies and the agency is unable to categorize them into one of the credit rating columns below, </t>
        </r>
        <r>
          <rPr>
            <u/>
            <sz val="10"/>
            <color indexed="81"/>
            <rFont val="Tahoma"/>
            <family val="2"/>
          </rPr>
          <t>do not</t>
        </r>
        <r>
          <rPr>
            <sz val="10"/>
            <color indexed="81"/>
            <rFont val="Tahoma"/>
            <family val="2"/>
          </rPr>
          <t xml:space="preserve"> categorize such securities in the "Unrated" column. Contact DOA for appropriate reporting.</t>
        </r>
        <r>
          <rPr>
            <sz val="9"/>
            <color indexed="81"/>
            <rFont val="Tahoma"/>
            <family val="2"/>
          </rPr>
          <t xml:space="preserve">
</t>
        </r>
      </text>
    </comment>
    <comment ref="A11" authorId="1" shapeId="0" xr:uid="{00000000-0006-0000-0400-000003000000}">
      <text>
        <r>
          <rPr>
            <b/>
            <u/>
            <sz val="10"/>
            <color indexed="81"/>
            <rFont val="Tahoma"/>
            <family val="2"/>
          </rPr>
          <t>Note</t>
        </r>
        <r>
          <rPr>
            <sz val="10"/>
            <color indexed="81"/>
            <rFont val="Tahoma"/>
            <family val="2"/>
          </rPr>
          <t>:  This tab has been left unprotected and unlocked, so that rows may be added or information copied into it.  If rows are added, please ensure that the "Type" and "Investment" descriptions in columns A and B and the formulas at columns  P,  X, Y, AE, AF,  AG, and AH are copied into the new rows.</t>
        </r>
        <r>
          <rPr>
            <sz val="9"/>
            <color indexed="81"/>
            <rFont val="Tahoma"/>
            <family val="2"/>
          </rPr>
          <t xml:space="preserve">
</t>
        </r>
      </text>
    </comment>
    <comment ref="Y11" authorId="1" shapeId="0" xr:uid="{00000000-0006-0000-0400-000004000000}">
      <text>
        <r>
          <rPr>
            <b/>
            <sz val="10"/>
            <color indexed="81"/>
            <rFont val="Tahoma"/>
            <family val="2"/>
          </rPr>
          <t xml:space="preserve">Total Reported Amount: </t>
        </r>
        <r>
          <rPr>
            <sz val="10"/>
            <color indexed="81"/>
            <rFont val="Tahoma"/>
            <family val="2"/>
          </rPr>
          <t xml:space="preserve"> For the debt securities an "error" message will appear if the sum of the amounts for interest rate risk (the sum of the amounts for  "Less Than 1 Year", "1-5 Years", "6-10 Years" and "Greater Than 10 Years")  does not equal the sum of the amounts for custodial credit risk for each security (the sum of the amounts for "Held by Counterparty", "Held by Counterparty's Trust Department or Agent but not in Government's Name", and "Uncategorized").</t>
        </r>
        <r>
          <rPr>
            <sz val="9"/>
            <color indexed="81"/>
            <rFont val="Tahoma"/>
            <family val="2"/>
          </rPr>
          <t xml:space="preserve">
</t>
        </r>
      </text>
    </comment>
    <comment ref="AH11" authorId="1" shapeId="0" xr:uid="{00000000-0006-0000-0400-000005000000}">
      <text>
        <r>
          <rPr>
            <b/>
            <sz val="10"/>
            <color indexed="81"/>
            <rFont val="Tahoma"/>
            <family val="2"/>
          </rPr>
          <t>Accuracy check</t>
        </r>
        <r>
          <rPr>
            <sz val="10"/>
            <color indexed="81"/>
            <rFont val="Tahoma"/>
            <family val="2"/>
          </rPr>
          <t>: For the debt securities, total reported amount per column P, column X, and column AE must agree. If it does not, an "Error" message will appear. Verify accuracy and make necessary corrections.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Amy Warner</author>
    <author>Kevin L. Salminen</author>
  </authors>
  <commentList>
    <comment ref="E6" authorId="0" shapeId="0" xr:uid="{00000000-0006-0000-0500-000001000000}">
      <text>
        <r>
          <rPr>
            <sz val="8"/>
            <color indexed="81"/>
            <rFont val="Tahoma"/>
            <family val="2"/>
          </rPr>
          <t xml:space="preserve">If this submission is a </t>
        </r>
        <r>
          <rPr>
            <b/>
            <sz val="8"/>
            <color indexed="81"/>
            <rFont val="Tahoma"/>
            <family val="2"/>
          </rPr>
          <t xml:space="preserve">revision </t>
        </r>
        <r>
          <rPr>
            <sz val="8"/>
            <color indexed="81"/>
            <rFont val="Tahoma"/>
            <family val="2"/>
          </rPr>
          <t>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BS61" authorId="1" shapeId="0" xr:uid="{00000000-0006-0000-0500-000002000000}">
      <text>
        <r>
          <rPr>
            <b/>
            <sz val="9"/>
            <color indexed="81"/>
            <rFont val="Tahoma"/>
            <family val="2"/>
          </rPr>
          <t xml:space="preserve">Total Fair Value of Foreign Currency plus Deposits of Foreign Currency:
</t>
        </r>
        <r>
          <rPr>
            <sz val="9"/>
            <color indexed="81"/>
            <rFont val="Tahoma"/>
            <family val="2"/>
          </rPr>
          <t>The sum of the total fair value of foreign currency amount must equal the sum of each individual investment total. If not an "error" message will appear.</t>
        </r>
        <r>
          <rPr>
            <sz val="8"/>
            <color indexed="81"/>
            <rFont val="Tahoma"/>
            <family val="2"/>
          </rPr>
          <t xml:space="preserve">
</t>
        </r>
      </text>
    </comment>
    <comment ref="BS62" authorId="1" shapeId="0" xr:uid="{00000000-0006-0000-0500-000003000000}">
      <text>
        <r>
          <rPr>
            <sz val="9"/>
            <color indexed="81"/>
            <rFont val="Tahoma"/>
            <family val="2"/>
          </rPr>
          <t>The total fair value of foreign currency plus total deposits of foreign currency should agree to the Part 12 amount that was reported on the "Tab 1A - Detail" tab.  If it does not, an "error" message will appear.</t>
        </r>
        <r>
          <rPr>
            <b/>
            <sz val="8"/>
            <color indexed="81"/>
            <rFont val="Tahoma"/>
            <family val="2"/>
          </rPr>
          <t xml:space="preserve">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C6" authorId="0" shapeId="0" xr:uid="{00000000-0006-0000-0600-000001000000}">
      <text>
        <r>
          <rPr>
            <sz val="8"/>
            <color indexed="81"/>
            <rFont val="Tahoma"/>
            <family val="2"/>
          </rPr>
          <t xml:space="preserve">If this submission is a </t>
        </r>
        <r>
          <rPr>
            <b/>
            <sz val="8"/>
            <color indexed="81"/>
            <rFont val="Tahoma"/>
            <family val="2"/>
          </rPr>
          <t>revisio</t>
        </r>
        <r>
          <rPr>
            <sz val="8"/>
            <color indexed="81"/>
            <rFont val="Tahoma"/>
            <family val="2"/>
          </rPr>
          <t>n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dba</author>
    <author>Kevin L. Salminen</author>
    <author>AEW</author>
  </authors>
  <commentList>
    <comment ref="B6" authorId="0" shapeId="0" xr:uid="{00000000-0006-0000-07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D49" authorId="1" shapeId="0" xr:uid="{00000000-0006-0000-0700-000002000000}">
      <text>
        <r>
          <rPr>
            <b/>
            <sz val="8.5"/>
            <color indexed="81"/>
            <rFont val="Tahoma"/>
            <family val="2"/>
          </rPr>
          <t xml:space="preserve">Total Net Receivables
</t>
        </r>
        <r>
          <rPr>
            <sz val="8.5"/>
            <color indexed="81"/>
            <rFont val="Tahoma"/>
            <family val="2"/>
          </rPr>
          <t>Total Net Receivables must agree to the total Net Receivables on the Template.  If not, an "error" message will appear. Correct as necessary.</t>
        </r>
      </text>
    </comment>
    <comment ref="D70" authorId="1" shapeId="0" xr:uid="{A29C9319-1CB1-4B1C-B611-F74DA5D2F643}">
      <text>
        <r>
          <rPr>
            <b/>
            <sz val="8"/>
            <color indexed="81"/>
            <rFont val="Tahoma"/>
            <family val="2"/>
          </rPr>
          <t xml:space="preserve">Total Restricted Receivables, Net
</t>
        </r>
        <r>
          <rPr>
            <sz val="8"/>
            <color indexed="81"/>
            <rFont val="Tahoma"/>
            <family val="2"/>
          </rPr>
          <t>Total Restricted Receivables, Net must agree to the total Restricted Receivables, Net on the Template.  If not, an "error" message will appear. Correct as necessary.</t>
        </r>
        <r>
          <rPr>
            <sz val="7"/>
            <color indexed="81"/>
            <rFont val="Tahoma"/>
            <family val="2"/>
          </rPr>
          <t xml:space="preserve">
</t>
        </r>
      </text>
    </comment>
    <comment ref="D80" authorId="1" shapeId="0" xr:uid="{00000000-0006-0000-0700-000003000000}">
      <text>
        <r>
          <rPr>
            <b/>
            <sz val="8.5"/>
            <color indexed="81"/>
            <rFont val="Tahoma"/>
            <family val="2"/>
          </rPr>
          <t xml:space="preserve">Total Contributions Receivable
</t>
        </r>
        <r>
          <rPr>
            <sz val="8.5"/>
            <color indexed="81"/>
            <rFont val="Tahoma"/>
            <family val="2"/>
          </rPr>
          <t>Total Contributions Receivable must agree to the total Contributions Receivable on the Template.  If not, an "error" message will appear. Correct as necessary.</t>
        </r>
      </text>
    </comment>
    <comment ref="G107" authorId="2" shapeId="0" xr:uid="{00000000-0006-0000-0700-000004000000}">
      <text>
        <r>
          <rPr>
            <b/>
            <sz val="8"/>
            <color indexed="81"/>
            <rFont val="Tahoma"/>
            <family val="2"/>
          </rPr>
          <t>Total Due From Primary Government</t>
        </r>
        <r>
          <rPr>
            <sz val="8"/>
            <color indexed="81"/>
            <rFont val="Tahoma"/>
            <family val="2"/>
          </rPr>
          <t xml:space="preserve">
Total Due From Primary Government must agree to the Due From Primary Government reported on the Template.  If not, an "error" message will appear.  Correct as necessary.
</t>
        </r>
      </text>
    </comment>
    <comment ref="G120" authorId="2" shapeId="0" xr:uid="{00000000-0006-0000-0700-000005000000}">
      <text>
        <r>
          <rPr>
            <b/>
            <sz val="8"/>
            <color indexed="81"/>
            <rFont val="Tahoma"/>
            <family val="2"/>
          </rPr>
          <t xml:space="preserve">Total Due To Primary Government
</t>
        </r>
        <r>
          <rPr>
            <sz val="8"/>
            <color indexed="81"/>
            <rFont val="Tahoma"/>
            <family val="2"/>
          </rPr>
          <t>Total Due To Primary Government must agree to the Due To Primary Government reported on the Template.  If not, an "error" message will appear.  Correct as necessary.</t>
        </r>
      </text>
    </comment>
    <comment ref="G133" authorId="2" shapeId="0" xr:uid="{00000000-0006-0000-0700-000006000000}">
      <text>
        <r>
          <rPr>
            <b/>
            <sz val="8"/>
            <color indexed="81"/>
            <rFont val="Tahoma"/>
            <family val="2"/>
          </rPr>
          <t xml:space="preserve">Total Due From Component Units
</t>
        </r>
        <r>
          <rPr>
            <sz val="8"/>
            <color indexed="81"/>
            <rFont val="Tahoma"/>
            <family val="2"/>
          </rPr>
          <t xml:space="preserve">Total Due From Component Units must agree to the Due From Component Units reported on the Template.  If not, an "error" message will appear.  Correct as necessary.
</t>
        </r>
      </text>
    </comment>
    <comment ref="G146" authorId="2" shapeId="0" xr:uid="{00000000-0006-0000-0700-000007000000}">
      <text>
        <r>
          <rPr>
            <b/>
            <sz val="8"/>
            <color indexed="81"/>
            <rFont val="Tahoma"/>
            <family val="2"/>
          </rPr>
          <t xml:space="preserve">Total Due To Component Units
</t>
        </r>
        <r>
          <rPr>
            <sz val="8"/>
            <color indexed="81"/>
            <rFont val="Tahoma"/>
            <family val="2"/>
          </rPr>
          <t>Total Due To Component Units must agree to the Due To Component Units reported on the Template.  If not, an "error" message will appear.  Correct as necessary.</t>
        </r>
      </text>
    </comment>
    <comment ref="G159" authorId="2" shapeId="0" xr:uid="{00000000-0006-0000-0700-000008000000}">
      <text>
        <r>
          <rPr>
            <b/>
            <sz val="8"/>
            <color indexed="81"/>
            <rFont val="Tahoma"/>
            <family val="2"/>
          </rPr>
          <t xml:space="preserve">Total Due To External Parties (Fiduciary  Funds)
</t>
        </r>
        <r>
          <rPr>
            <sz val="8"/>
            <color indexed="81"/>
            <rFont val="Tahoma"/>
            <family val="2"/>
          </rPr>
          <t>Total Due To External Parties (Fiduciary Funds) must agree to the Due To External Parties (Fiduciary Funds) reported on the Template.  If not, an "error" message will appear.  Correct as necessary.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dba</author>
    <author>K Winfield</author>
    <author>VITA Program</author>
    <author>Mary Christine Tuck</author>
  </authors>
  <commentList>
    <comment ref="B6" authorId="0" shapeId="0" xr:uid="{00000000-0006-0000-08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COMPLETE THE</t>
        </r>
        <r>
          <rPr>
            <b/>
            <sz val="8"/>
            <color indexed="81"/>
            <rFont val="Tahoma"/>
            <family val="2"/>
          </rPr>
          <t xml:space="preserve"> REVISION CONTROL LOG TAB.</t>
        </r>
        <r>
          <rPr>
            <sz val="8"/>
            <color indexed="81"/>
            <rFont val="Tahoma"/>
            <family val="2"/>
          </rPr>
          <t xml:space="preserve">
</t>
        </r>
      </text>
    </comment>
    <comment ref="A17" authorId="1" shapeId="0" xr:uid="{0D73D784-709D-4B3E-8C46-9C5DFA7FB2D7}">
      <text>
        <r>
          <rPr>
            <sz val="9"/>
            <color indexed="81"/>
            <rFont val="Tahoma"/>
            <family val="2"/>
          </rPr>
          <t xml:space="preserve">SBITA payments before commencement should be recorded as CIP.
</t>
        </r>
      </text>
    </comment>
    <comment ref="M22" authorId="2" shapeId="0" xr:uid="{00000000-0006-0000-0800-000002000000}">
      <text>
        <r>
          <rPr>
            <b/>
            <sz val="8"/>
            <color indexed="81"/>
            <rFont val="Tahoma"/>
            <family val="2"/>
          </rPr>
          <t xml:space="preserve">Total Nondepreciable Capital Assets </t>
        </r>
        <r>
          <rPr>
            <sz val="8"/>
            <color indexed="81"/>
            <rFont val="Tahoma"/>
            <family val="2"/>
          </rPr>
          <t>must agree to the Total Nondepreciable Capital Assets reported on the Template.  If not, an "error" message will appear.  Make corrections as deemed necessary.</t>
        </r>
      </text>
    </comment>
    <comment ref="A36" authorId="1" shapeId="0" xr:uid="{A7E1456A-2E7C-411C-A28D-E33588334881}">
      <text>
        <r>
          <rPr>
            <sz val="8"/>
            <color indexed="81"/>
            <rFont val="Tahoma"/>
            <family val="2"/>
          </rPr>
          <t xml:space="preserve">Assets obtained through Financed Purchase Obligations should </t>
        </r>
        <r>
          <rPr>
            <u/>
            <sz val="8"/>
            <color indexed="81"/>
            <rFont val="Tahoma"/>
            <family val="2"/>
          </rPr>
          <t>not</t>
        </r>
        <r>
          <rPr>
            <sz val="8"/>
            <color indexed="81"/>
            <rFont val="Tahoma"/>
            <family val="2"/>
          </rPr>
          <t xml:space="preserve"> be reported as Right-to-Use Intangible Assets.  These should be reported as Other Capital Assets above.</t>
        </r>
        <r>
          <rPr>
            <sz val="9"/>
            <color indexed="81"/>
            <rFont val="Tahoma"/>
            <family val="2"/>
          </rPr>
          <t xml:space="preserve">
</t>
        </r>
      </text>
    </comment>
    <comment ref="A43" authorId="1" shapeId="0" xr:uid="{F7F92F4B-D25B-41D5-B0DF-A24F5C12B4CF}">
      <text>
        <r>
          <rPr>
            <sz val="8"/>
            <color indexed="81"/>
            <rFont val="Tahoma"/>
            <family val="2"/>
          </rPr>
          <t xml:space="preserve">If the entity is the </t>
        </r>
        <r>
          <rPr>
            <b/>
            <sz val="8"/>
            <color indexed="81"/>
            <rFont val="Tahoma"/>
            <family val="2"/>
          </rPr>
          <t>operator</t>
        </r>
        <r>
          <rPr>
            <sz val="8"/>
            <color indexed="81"/>
            <rFont val="Tahoma"/>
            <family val="2"/>
          </rPr>
          <t xml:space="preserve"> in a public-private and/or public-public partnership arrangement (PPP) pursuant to </t>
        </r>
        <r>
          <rPr>
            <b/>
            <u/>
            <sz val="8"/>
            <color indexed="81"/>
            <rFont val="Tahoma"/>
            <family val="2"/>
          </rPr>
          <t>GASBS No. 94</t>
        </r>
        <r>
          <rPr>
            <sz val="8"/>
            <color indexed="81"/>
            <rFont val="Tahoma"/>
            <family val="2"/>
          </rPr>
          <t xml:space="preserve">, refer to </t>
        </r>
        <r>
          <rPr>
            <b/>
            <u/>
            <sz val="8"/>
            <color indexed="81"/>
            <rFont val="Tahoma"/>
            <family val="2"/>
          </rPr>
          <t>GASBS No. 94</t>
        </r>
        <r>
          <rPr>
            <sz val="8"/>
            <color indexed="81"/>
            <rFont val="Tahoma"/>
            <family val="2"/>
          </rPr>
          <t xml:space="preserve"> for guidance regarding the Right-to-Use Intangible Assets.</t>
        </r>
      </text>
    </comment>
    <comment ref="M76" authorId="3" shapeId="0" xr:uid="{00000000-0006-0000-0800-000004000000}">
      <text>
        <r>
          <rPr>
            <b/>
            <sz val="8"/>
            <color indexed="81"/>
            <rFont val="Tahoma"/>
            <family val="2"/>
          </rPr>
          <t xml:space="preserve">Total Other Capital Assets, Net </t>
        </r>
        <r>
          <rPr>
            <sz val="8"/>
            <color indexed="81"/>
            <rFont val="Tahoma"/>
            <family val="2"/>
          </rPr>
          <t>must agree to the Total Other Capital Assets, Net reported on the Statement of Net Position.  If not, an "error" message will appear.  Make corrections as deemed necessary.</t>
        </r>
      </text>
    </comment>
  </commentList>
</comments>
</file>

<file path=xl/sharedStrings.xml><?xml version="1.0" encoding="utf-8"?>
<sst xmlns="http://schemas.openxmlformats.org/spreadsheetml/2006/main" count="3689" uniqueCount="1879">
  <si>
    <t>BOARD OF BAR EXAMINERS</t>
  </si>
  <si>
    <t>VIRGINIA MUSEUM OF FINE ARTS</t>
  </si>
  <si>
    <t>FRONTIER CULTURE MUSEUM OF VIRGINIA</t>
  </si>
  <si>
    <t>VIRGINIA-ISRAEL ADVISORY BOARD</t>
  </si>
  <si>
    <t>MARINE RESOURCES COMMISSION</t>
  </si>
  <si>
    <t>VIRGINIA RACING COMMISSION</t>
  </si>
  <si>
    <t>DEPARTMENT OF FORESTRY</t>
  </si>
  <si>
    <t>GUNSTON HALL</t>
  </si>
  <si>
    <t>DEPARTMENT OF HISTORIC RESOURCES</t>
  </si>
  <si>
    <t>JAMESTOWN-YORKTOWN FOUNDATION</t>
  </si>
  <si>
    <t>DEPARTMENT OF ENVIRONMENTAL QUALITY</t>
  </si>
  <si>
    <t>DEPARTMENT OF TRANSPORTATION</t>
  </si>
  <si>
    <t>MOTOR VEHICLE DEALER BOARD</t>
  </si>
  <si>
    <t>DEPARTMENT OF MOTOR VEHICLES TRANSFER PAYMENTS</t>
  </si>
  <si>
    <t>DEPARTMENT OF HEALTH</t>
  </si>
  <si>
    <t>VIRGINIA CORRECTIONAL ENTERPRISES</t>
  </si>
  <si>
    <t>DEPARTMENT OF SOCIAL SERVICES</t>
  </si>
  <si>
    <t>DEPARTMENT OF JUVENILE JUSTICE</t>
  </si>
  <si>
    <t>DEPARTMENT OF FORENSIC SCIENCE</t>
  </si>
  <si>
    <t>CAPITOL SQUARE PRESERVATION COUNCIL</t>
  </si>
  <si>
    <t>VIRGINIA COMMISSION ON YOUTH</t>
  </si>
  <si>
    <t>VIRGINIA HOUSING COMMISSION</t>
  </si>
  <si>
    <t>DEPARTMENT OF AVIATION</t>
  </si>
  <si>
    <t>CHESAPEAKE BAY COMMISSION</t>
  </si>
  <si>
    <t>JOINT COMMISSION ON HEALTH CARE</t>
  </si>
  <si>
    <t>INDIGENT DEFENSE COMMISSION</t>
  </si>
  <si>
    <t>DEPARTMENT OF VETERANS SERVICES</t>
  </si>
  <si>
    <t>INTERSTATE ORGANIZATION CONTRIBUTIONS</t>
  </si>
  <si>
    <t>VIRGINIA MUSEUM OF NATURAL HISTORY</t>
  </si>
  <si>
    <t>DEPARTMENT OF FIRE PROGRAMS</t>
  </si>
  <si>
    <t>DIVISION OF CAPITOL POLICE</t>
  </si>
  <si>
    <t xml:space="preserve">  Livestock</t>
  </si>
  <si>
    <t xml:space="preserve">   Livestock</t>
  </si>
  <si>
    <t>Cost-based measure - provided that the fair value is not significantly affected by the impairment of the credit standing of the issuer or other factors</t>
  </si>
  <si>
    <t>1b)</t>
  </si>
  <si>
    <t>Virginia Small Business Financing Authority</t>
  </si>
  <si>
    <t>Date Completed:</t>
  </si>
  <si>
    <t>Yes or No</t>
  </si>
  <si>
    <t>Prior Year</t>
  </si>
  <si>
    <t>Expenses For Security Lending Transactions</t>
  </si>
  <si>
    <t>Income From Security Lending Transactions</t>
  </si>
  <si>
    <t>Special Items (include description)</t>
  </si>
  <si>
    <t>Extraordinary Items (include description)</t>
  </si>
  <si>
    <t>Long-term debt related to capital assets (enter negative numbers):</t>
  </si>
  <si>
    <t xml:space="preserve">  Installment Purchase Obligations</t>
  </si>
  <si>
    <t xml:space="preserve">  Bonds Payable</t>
  </si>
  <si>
    <t xml:space="preserve">  Other Long-term Liabilities, list below:</t>
  </si>
  <si>
    <t>CHECK FIGURE</t>
  </si>
  <si>
    <t>Long-term debt line item possibly related to capital assets</t>
  </si>
  <si>
    <t>Per This Tab 
(Linked)</t>
  </si>
  <si>
    <t>Difference</t>
  </si>
  <si>
    <t>Did the entity properly report the classification of restricted cash, cash equivalents, and investments on the Financial Statement Template in accordance with the guidelines described below?</t>
  </si>
  <si>
    <r>
      <t xml:space="preserve">Gain on Sale/Disposal/Impairment of Capital Assets (see </t>
    </r>
    <r>
      <rPr>
        <b/>
        <u val="singleAccounting"/>
        <sz val="8"/>
        <rFont val="Times New Roman"/>
        <family val="1"/>
      </rPr>
      <t>Note b</t>
    </r>
    <r>
      <rPr>
        <sz val="8"/>
        <rFont val="Times New Roman"/>
        <family val="1"/>
      </rPr>
      <t>)</t>
    </r>
  </si>
  <si>
    <t>Fort Monroe Authority</t>
  </si>
  <si>
    <t>A.L. Philpott Manufacturing Extension Partnership</t>
  </si>
  <si>
    <t>Hampton Roads Sanitation District Commission</t>
  </si>
  <si>
    <t>Virginia Commercial Space Flight Authority</t>
  </si>
  <si>
    <t>Virginia Resources Authority</t>
  </si>
  <si>
    <r>
      <t>Sale of Future Revenues</t>
    </r>
    <r>
      <rPr>
        <sz val="9"/>
        <rFont val="Times New Roman"/>
        <family val="1"/>
      </rPr>
      <t xml:space="preserve">:  Does the entity have any transactions in which the entity receives, or is entitled to, proceeds in exchange for future cash flows from specific future revenues that meets the definition of a sale in accordance with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provide a description of these transactions in the yellow box below.</t>
    </r>
  </si>
  <si>
    <r>
      <t xml:space="preserve">GASBS No. 40 </t>
    </r>
    <r>
      <rPr>
        <sz val="10"/>
        <rFont val="Times New Roman"/>
        <family val="1"/>
      </rPr>
      <t xml:space="preserve">states it is the entity's responsibility “to update the custodial credit risk disclosure requirements addressing other common risks of the deposits </t>
    </r>
  </si>
  <si>
    <r>
      <t>GASBS No. 33</t>
    </r>
    <r>
      <rPr>
        <sz val="9"/>
        <rFont val="Times New Roman"/>
        <family val="1"/>
      </rPr>
      <t xml:space="preserve">, </t>
    </r>
    <r>
      <rPr>
        <i/>
        <sz val="9"/>
        <rFont val="Times New Roman"/>
        <family val="1"/>
      </rPr>
      <t>Accounting and Financial Reporting for Nonexchange Transactions</t>
    </r>
  </si>
  <si>
    <r>
      <t>GASBS No. 38</t>
    </r>
    <r>
      <rPr>
        <sz val="9"/>
        <rFont val="Times New Roman"/>
        <family val="1"/>
      </rPr>
      <t xml:space="preserve">, </t>
    </r>
    <r>
      <rPr>
        <i/>
        <sz val="9"/>
        <rFont val="Times New Roman"/>
        <family val="1"/>
      </rPr>
      <t>Certain Financial Statement Note Disclosures</t>
    </r>
  </si>
  <si>
    <t>Installment Purchase Obligations - Due Greater Than One Year</t>
  </si>
  <si>
    <t>Other Liabilities - Due Greater Than One Year - Total</t>
  </si>
  <si>
    <t>Other Liabilities - Due Within One Year - Total</t>
  </si>
  <si>
    <t>Weighted Average</t>
  </si>
  <si>
    <t>Current Market Cost</t>
  </si>
  <si>
    <t>Overall Derivative Instrument Categories:</t>
  </si>
  <si>
    <t>Explanation of the Difference</t>
  </si>
  <si>
    <t>Unearned Revenue</t>
  </si>
  <si>
    <t>Restricted Local Government Investment Pool - Cash Equivalents</t>
  </si>
  <si>
    <t>Restricted Local Government Investment Pool - Investments</t>
  </si>
  <si>
    <t>(Linked)</t>
  </si>
  <si>
    <t>Capital Grants and Contributions (include capital appropriations here)</t>
  </si>
  <si>
    <t>Salaries/Wages</t>
  </si>
  <si>
    <t>Other</t>
  </si>
  <si>
    <t>Short-term Debt</t>
  </si>
  <si>
    <t>Tab 4  Parts 1 &amp; 2</t>
  </si>
  <si>
    <t>Tab 4  Parts 1 &amp; 3</t>
  </si>
  <si>
    <t>Tab 4  Parts 1 &amp; 4</t>
  </si>
  <si>
    <t>Tab 4  Parts 1 &amp; 5</t>
  </si>
  <si>
    <t>Tab 4  Part 1</t>
  </si>
  <si>
    <t>Tab 4  Parts 1 &amp; 6</t>
  </si>
  <si>
    <t>Tab 6</t>
  </si>
  <si>
    <t xml:space="preserve"> Tab 8 (Section 5)</t>
  </si>
  <si>
    <t>Tab 7</t>
  </si>
  <si>
    <t xml:space="preserve">                  </t>
  </si>
  <si>
    <r>
      <t>Collateralized Borrowings (Pledging) of Future Revenues</t>
    </r>
    <r>
      <rPr>
        <sz val="9"/>
        <rFont val="Times New Roman"/>
        <family val="1"/>
      </rPr>
      <t xml:space="preserve">:  Does the entity have any transactions in which the entity receives, or is entitled to, proceeds in exchange for future cash flows from specific future revenues that meet the definition of a collateralized borrowing in accordance with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xml:space="preserve">, provide a description of these transactions in the yellow box below. </t>
    </r>
  </si>
  <si>
    <t>Part 15)</t>
  </si>
  <si>
    <t>Part 4)</t>
  </si>
  <si>
    <t>Part 5)</t>
  </si>
  <si>
    <t>Part 8) (all sections)</t>
  </si>
  <si>
    <t>Part 9) (all sections)</t>
  </si>
  <si>
    <t>Part 10) (all sections)</t>
  </si>
  <si>
    <t>Retirements and Other Decreases (negative $)</t>
  </si>
  <si>
    <t>Due Within One Year</t>
  </si>
  <si>
    <t>Compensated Absences</t>
  </si>
  <si>
    <t xml:space="preserve">    Total</t>
  </si>
  <si>
    <t>Maturity Fiscal Year Ended June 30:</t>
  </si>
  <si>
    <t>Principal</t>
  </si>
  <si>
    <t>Interest</t>
  </si>
  <si>
    <t>Restricted Cash Equivalents not with the Treasurer of Virginia (excludes SNAP)</t>
  </si>
  <si>
    <t xml:space="preserve">  Notes Payable</t>
  </si>
  <si>
    <t xml:space="preserve">  Bond Anticipation Notes</t>
  </si>
  <si>
    <t>CHECK 
FIGURES</t>
  </si>
  <si>
    <t>Expenses-Loss on Sale/Disposal/Impairment of Capital Assets</t>
  </si>
  <si>
    <t>Special Item</t>
  </si>
  <si>
    <t>Extraordinary Item</t>
  </si>
  <si>
    <t xml:space="preserve">be reported net of the associated insurance recovery.  </t>
  </si>
  <si>
    <t>Provide the capitalization criteria for capital assets:</t>
  </si>
  <si>
    <t>Capital Asset Capitalization Policy</t>
  </si>
  <si>
    <t>Is the capital asset capitalization policy explained below correct for the component unit?</t>
  </si>
  <si>
    <t>Capital Asset Capitalization Policy:</t>
  </si>
  <si>
    <t xml:space="preserve">5) The entity commences, or legally obligates itself to commence, cleanup activities or monitoring or operation and maintenance of the remediation effort.  If these activities are voluntarily commenced and none of the other obligating events have occurred relative to the entire site, the amount recognized should be based on the portion of the remediation project that the entity has initiated and is legally required to complete. </t>
  </si>
  <si>
    <t>c)  Provide an explanation if the reported amount is negative</t>
  </si>
  <si>
    <t xml:space="preserve">            i)    Uncollateralized</t>
  </si>
  <si>
    <t xml:space="preserve">            ii)   Collateralized with securities held by the pledging financial institution</t>
  </si>
  <si>
    <t>Cash and Travel Advances</t>
  </si>
  <si>
    <t>Unamortized Bond Issuance Expense</t>
  </si>
  <si>
    <t>Other Assets</t>
  </si>
  <si>
    <t>Other Assets - Total</t>
  </si>
  <si>
    <t>Asset-Backed Securities</t>
  </si>
  <si>
    <r>
      <t xml:space="preserve">If </t>
    </r>
    <r>
      <rPr>
        <b/>
        <sz val="9"/>
        <rFont val="Times New Roman"/>
        <family val="1"/>
      </rPr>
      <t>no</t>
    </r>
    <r>
      <rPr>
        <sz val="9"/>
        <rFont val="Times New Roman"/>
        <family val="1"/>
      </rPr>
      <t xml:space="preserve"> - Provide a description as to why in the yellow box below.</t>
    </r>
  </si>
  <si>
    <r>
      <t xml:space="preserve">If </t>
    </r>
    <r>
      <rPr>
        <b/>
        <sz val="8"/>
        <rFont val="Times New Roman"/>
        <family val="1"/>
      </rPr>
      <t>no</t>
    </r>
    <r>
      <rPr>
        <sz val="8"/>
        <rFont val="Times New Roman"/>
        <family val="1"/>
      </rPr>
      <t xml:space="preserve"> - Provide the capitalization policy below.</t>
    </r>
  </si>
  <si>
    <r>
      <t xml:space="preserve">If </t>
    </r>
    <r>
      <rPr>
        <b/>
        <sz val="8"/>
        <rFont val="Times New Roman"/>
        <family val="1"/>
      </rPr>
      <t>yes</t>
    </r>
    <r>
      <rPr>
        <sz val="8"/>
        <rFont val="Times New Roman"/>
        <family val="1"/>
      </rPr>
      <t xml:space="preserve"> - Additional explanation not required.</t>
    </r>
  </si>
  <si>
    <t>Fiscal Year Ended June 30:</t>
  </si>
  <si>
    <t>$ Amount</t>
  </si>
  <si>
    <t xml:space="preserve">  Total Gross Minimum Lease Payments</t>
  </si>
  <si>
    <t xml:space="preserve"> Less: Executory Costs (negative $)</t>
  </si>
  <si>
    <t xml:space="preserve"> Net Minimum Lease Payments</t>
  </si>
  <si>
    <t>Less: Interest (negative $)</t>
  </si>
  <si>
    <t>Notes Payable - Due Greater Than One Year</t>
  </si>
  <si>
    <t>Compensated Absences - Due Greater Than One Year</t>
  </si>
  <si>
    <t>Pension Liability - Due Greater Than One Year</t>
  </si>
  <si>
    <t>Other - Due Within One Year</t>
  </si>
  <si>
    <t>Other - Due Greater Than One Year</t>
  </si>
  <si>
    <t>Is the method and cost used to determine value consistent with that used in the previous fiscal year?</t>
  </si>
  <si>
    <t>Category</t>
  </si>
  <si>
    <t>Unrestricted SNAP Individual Portfolio - Cash Equivalents</t>
  </si>
  <si>
    <r>
      <t xml:space="preserve">Unrestricted Cash Equivalents </t>
    </r>
    <r>
      <rPr>
        <b/>
        <sz val="10"/>
        <rFont val="Times New Roman"/>
        <family val="1"/>
      </rPr>
      <t>not held</t>
    </r>
    <r>
      <rPr>
        <sz val="10"/>
        <rFont val="Times New Roman"/>
        <family val="1"/>
      </rPr>
      <t xml:space="preserve"> with Treasurer of VA (excludes SNAP)</t>
    </r>
  </si>
  <si>
    <r>
      <t xml:space="preserve">Restricted Cash Equivalents </t>
    </r>
    <r>
      <rPr>
        <b/>
        <sz val="10"/>
        <rFont val="Times New Roman"/>
        <family val="1"/>
      </rPr>
      <t>not held</t>
    </r>
    <r>
      <rPr>
        <sz val="10"/>
        <rFont val="Times New Roman"/>
        <family val="1"/>
      </rPr>
      <t xml:space="preserve"> with Treasurer of VA (excludes SNAP)</t>
    </r>
  </si>
  <si>
    <t>Subtotal</t>
  </si>
  <si>
    <t>Unrestricted SNAP Individual Portfolio - Investments</t>
  </si>
  <si>
    <r>
      <t xml:space="preserve">Unrestricted Investments </t>
    </r>
    <r>
      <rPr>
        <b/>
        <sz val="10"/>
        <rFont val="Times New Roman"/>
        <family val="1"/>
      </rPr>
      <t>not held</t>
    </r>
    <r>
      <rPr>
        <sz val="10"/>
        <rFont val="Times New Roman"/>
        <family val="1"/>
      </rPr>
      <t xml:space="preserve"> with Treasurer of VA (excludes SNAP)</t>
    </r>
  </si>
  <si>
    <t xml:space="preserve">reported at amortized cost.  A "no" answer to these questions would indicate that these types of investments are </t>
  </si>
  <si>
    <t>Type of Investments</t>
  </si>
  <si>
    <t>Restricted for:</t>
  </si>
  <si>
    <t>Debt Service</t>
  </si>
  <si>
    <t>Bond Indenture</t>
  </si>
  <si>
    <t>Unrestricted</t>
  </si>
  <si>
    <t>Gross Amounts:</t>
  </si>
  <si>
    <t xml:space="preserve">  Taxes Receivable</t>
  </si>
  <si>
    <t xml:space="preserve">  Other Receivables</t>
  </si>
  <si>
    <t xml:space="preserve">     Total Allowance for Doubtful Accounts</t>
  </si>
  <si>
    <t xml:space="preserve">     Total Gross Receivables</t>
  </si>
  <si>
    <t>Less: Unamortized Discount (negative amount)</t>
  </si>
  <si>
    <t>Less: Discount Unaccreted Capital Appreciation Bonds (negative amount)</t>
  </si>
  <si>
    <t>Installment Purchase Obligations - Due within one year</t>
  </si>
  <si>
    <t>Bonds Payable - Due Within One Year</t>
  </si>
  <si>
    <t>Notes Payable - Due Within One Year</t>
  </si>
  <si>
    <t>Compensated Absences - Due Within One Year</t>
  </si>
  <si>
    <t>Highest Rate:</t>
  </si>
  <si>
    <t>Lowest Rate :</t>
  </si>
  <si>
    <t>Bond Issue Date Ranges:</t>
  </si>
  <si>
    <t>Oldest Issue Date:</t>
  </si>
  <si>
    <t>Most Recent Issue Date:</t>
  </si>
  <si>
    <t>Reported as</t>
  </si>
  <si>
    <t>Nonparticipating contracts</t>
  </si>
  <si>
    <t>Amortized Cost</t>
  </si>
  <si>
    <t>All other Investments</t>
  </si>
  <si>
    <t xml:space="preserve">       Total Accumulated Depreciation</t>
  </si>
  <si>
    <t xml:space="preserve">   </t>
  </si>
  <si>
    <t xml:space="preserve">   Total Capital Assets, Net</t>
  </si>
  <si>
    <t>Years</t>
  </si>
  <si>
    <t>Issuances and Other Increases</t>
  </si>
  <si>
    <t>Is the reason the works of art and/or historical treasures are not being capitalized because all</t>
  </si>
  <si>
    <t xml:space="preserve">                                                                                                          If it does not, an "error" message will appear in the blue box to the right.</t>
  </si>
  <si>
    <t>Other Debt Securities</t>
  </si>
  <si>
    <t>Other Equity Securities</t>
  </si>
  <si>
    <t>DEBT</t>
  </si>
  <si>
    <t>EQUITY</t>
  </si>
  <si>
    <t>Restricted State Non-Arbitrage Program (SNAP) Pool Funds</t>
  </si>
  <si>
    <t>General Revenues</t>
  </si>
  <si>
    <r>
      <t>Do NOT enter petty cash or advances.</t>
    </r>
    <r>
      <rPr>
        <sz val="10"/>
        <rFont val="Times New Roman"/>
        <family val="1"/>
      </rPr>
      <t xml:space="preserve">  Attach a reconciliation if there is a variance.</t>
    </r>
  </si>
  <si>
    <t>Part 2)  Capital Asset Capitalization Policy</t>
  </si>
  <si>
    <t>Other Assets (include description)</t>
  </si>
  <si>
    <t>Restricted Other Assets (include description)</t>
  </si>
  <si>
    <t>Other Liabilities (include description)</t>
  </si>
  <si>
    <t xml:space="preserve">            iii)  Collateralized with securities held by the pledging financial institution's trust department or agent but not in the depositor-government's name</t>
  </si>
  <si>
    <t xml:space="preserve">Philippines Peso </t>
  </si>
  <si>
    <t xml:space="preserve">Polish Zloty </t>
  </si>
  <si>
    <t xml:space="preserve">Singapore Dollar </t>
  </si>
  <si>
    <t xml:space="preserve">South Korean Won </t>
  </si>
  <si>
    <t xml:space="preserve">Sri Lanka Rupee </t>
  </si>
  <si>
    <t>Footnote Disclosure:  Does the entity have any idle capital assets at year-end that are temporarily or permanently impaired?</t>
  </si>
  <si>
    <t>Permanently Impaired Capital Assets</t>
  </si>
  <si>
    <t>Temporarily Impaired Capital Assets</t>
  </si>
  <si>
    <t>Computer Software</t>
  </si>
  <si>
    <t>Patents / Trademarks / Copyrights</t>
  </si>
  <si>
    <t>Water Rights and/or Easements</t>
  </si>
  <si>
    <t>Other Intangibles</t>
  </si>
  <si>
    <t>Part 1</t>
  </si>
  <si>
    <t>Contributions to Permanent Endowments</t>
  </si>
  <si>
    <t>Installment Purchase Obligations (Part 3)</t>
  </si>
  <si>
    <t>Deposits Pending Distribution</t>
  </si>
  <si>
    <t>Amount</t>
  </si>
  <si>
    <t>FIFO</t>
  </si>
  <si>
    <t>LIFO</t>
  </si>
  <si>
    <t>Average Cost</t>
  </si>
  <si>
    <t>Cost</t>
  </si>
  <si>
    <t xml:space="preserve">Does the entity have any nonexchange transactions that are not recognizable because they are not measurable?   </t>
  </si>
  <si>
    <t>-Hedging derivative instrument - effective hedge</t>
  </si>
  <si>
    <t>-Investment derivative instrument - ineffective hedge</t>
  </si>
  <si>
    <t>-Investment derivative instrument - entered into primarily to obtain income or profit</t>
  </si>
  <si>
    <t>-Fully benefit-responsive synthetic guaranteed investment contracts (SGICs)</t>
  </si>
  <si>
    <t>-Fully benefit-responsive synthetic guaranteed investment contracts</t>
  </si>
  <si>
    <t>Description of the hedging item</t>
  </si>
  <si>
    <t>Restricted Cash not with the Treasurer of Virginia</t>
  </si>
  <si>
    <t>Restricted Cash and Cash Equivalents - Total</t>
  </si>
  <si>
    <t>Restricted Investments - Total</t>
  </si>
  <si>
    <t>Restricted Cash and Travel Advances</t>
  </si>
  <si>
    <t>Restricted Unamortized Bond Issuance Expense</t>
  </si>
  <si>
    <t>Restricted Other Assets</t>
  </si>
  <si>
    <t>Restricted Other Assets - Total</t>
  </si>
  <si>
    <t>Nondepreciable Capital Assets</t>
  </si>
  <si>
    <t>Obligations Under Securities Lending Program</t>
  </si>
  <si>
    <t>Loans Payable to Primary Government</t>
  </si>
  <si>
    <t xml:space="preserve">Swiss Franc </t>
  </si>
  <si>
    <t xml:space="preserve">Thailand Baht </t>
  </si>
  <si>
    <t xml:space="preserve">Turkish Lira </t>
  </si>
  <si>
    <t>Other (Please list)</t>
  </si>
  <si>
    <t>N/A</t>
  </si>
  <si>
    <t>Advances (nonexchange transactions)</t>
  </si>
  <si>
    <t>Inventory</t>
  </si>
  <si>
    <t>Prepaid Items</t>
  </si>
  <si>
    <t>Restricted Advances (nonexchange transactions)</t>
  </si>
  <si>
    <t>TOTAL ASSETS</t>
  </si>
  <si>
    <t>Assets</t>
  </si>
  <si>
    <t>Liabilities</t>
  </si>
  <si>
    <t>Accounts Payable - Total</t>
  </si>
  <si>
    <t>Due to Component Units</t>
  </si>
  <si>
    <t>Accrued Interest Payable</t>
  </si>
  <si>
    <t>Other Liabilities</t>
  </si>
  <si>
    <t>Grants Payable</t>
  </si>
  <si>
    <t>Taxes Receivable, net</t>
  </si>
  <si>
    <t>Other Receivable, net</t>
  </si>
  <si>
    <t>10b</t>
  </si>
  <si>
    <t>10c</t>
  </si>
  <si>
    <t>10d</t>
  </si>
  <si>
    <t>10e</t>
  </si>
  <si>
    <t>10f</t>
  </si>
  <si>
    <t>10g</t>
  </si>
  <si>
    <t>6) Methods and assumptions used for the above estimate</t>
  </si>
  <si>
    <t>7) Describe the potential for changes (i.e. price increases or reductions, technology, applicable laws or regulations, etc.)</t>
  </si>
  <si>
    <t xml:space="preserve">  Loans Receivable</t>
  </si>
  <si>
    <t xml:space="preserve">  Other Receivables </t>
  </si>
  <si>
    <t xml:space="preserve">  Accounts Receivable</t>
  </si>
  <si>
    <t>Part 6)</t>
  </si>
  <si>
    <t>Part 7)</t>
  </si>
  <si>
    <t>Part 10)</t>
  </si>
  <si>
    <t>Part 11)</t>
  </si>
  <si>
    <t>Part 12)</t>
  </si>
  <si>
    <t>Part 13)</t>
  </si>
  <si>
    <t>Part 14)</t>
  </si>
  <si>
    <t>2) The entity is in violation of a pollution prevention-related permit or license, such as a Resource Conservation and Recovery Act permit or similar permits under state law.</t>
  </si>
  <si>
    <t>3) The entity is named, or evidence indicates that it will be named, by a regulator as a responsible party or potentially responsible party for remediation, or as an entity responsible for sharing costs.</t>
  </si>
  <si>
    <t>4) The entity is named, or evidence indicates that it will be named, in a lawsuit to compel the entity to participate in remediation.</t>
  </si>
  <si>
    <t>Is any of the inventory pledged or have a lien against it?</t>
  </si>
  <si>
    <t>Restricted SNAP Individual Portfolio - Investments</t>
  </si>
  <si>
    <t>Restricted SNAP Individual Portfolio - Cash Equivalents</t>
  </si>
  <si>
    <t>Restricted Cash Equivalents with the Treasurer of Virginia (excludes LGIP &amp; SNAP)</t>
  </si>
  <si>
    <t>Restricted Investments with the Treasurer of Virginia (excludes LGIP &amp; SNAP)</t>
  </si>
  <si>
    <t>Restricted Investments not with the Treasurer of Virginia (excludes SNAP)</t>
  </si>
  <si>
    <t>Part 8)</t>
  </si>
  <si>
    <t>Description</t>
  </si>
  <si>
    <t xml:space="preserve">Tab 1A, Part 8c </t>
  </si>
  <si>
    <t xml:space="preserve">Tab 1A, Part 8a </t>
  </si>
  <si>
    <t xml:space="preserve">Tab 1A, Part 8b </t>
  </si>
  <si>
    <t>Virginia Outdoors Foundation</t>
  </si>
  <si>
    <r>
      <t xml:space="preserve">Restricted Investments </t>
    </r>
    <r>
      <rPr>
        <b/>
        <sz val="10"/>
        <rFont val="Times New Roman"/>
        <family val="1"/>
      </rPr>
      <t xml:space="preserve">not held </t>
    </r>
    <r>
      <rPr>
        <sz val="10"/>
        <rFont val="Times New Roman"/>
        <family val="1"/>
      </rPr>
      <t>with Treasurer of VA (excludes SNAP)</t>
    </r>
  </si>
  <si>
    <t>Cash Equivalents and Investments held with Treasurer of VA:</t>
  </si>
  <si>
    <t>Total Unrestricted Cash Equivalents held with Treasurer of VA</t>
  </si>
  <si>
    <t>Tab 2 Part 1</t>
  </si>
  <si>
    <t>Tab 2 Part 2</t>
  </si>
  <si>
    <t>Works of Art/Historical Treasures</t>
  </si>
  <si>
    <t>Does the component unit have any works of art and / or historical treasures that are not capitalized?  Yes or No</t>
  </si>
  <si>
    <t>If yes, provide a description of the works of art and / or historical treasures not capitalized.</t>
  </si>
  <si>
    <t>Is the reason the works of art and / or historical treasures are not being capitalized because all</t>
  </si>
  <si>
    <t>of the following criteria are met by the institution?</t>
  </si>
  <si>
    <t>B)  The assets are "protected, kept unencumbered, cared for, and preserved."</t>
  </si>
  <si>
    <t>A)  The assets are "held for public exhibition, education, or research in furtherance of public service rather than financial gain."</t>
  </si>
  <si>
    <t>C)  The assets are "subject to an organizational policy that requires the proceeds from sales of collection items to be used to acquire other items for collections."</t>
  </si>
  <si>
    <t>Defeasance</t>
  </si>
  <si>
    <t>Interest and Bond Issue Date Ranges of Bonds</t>
  </si>
  <si>
    <r>
      <t xml:space="preserve">a.  For </t>
    </r>
    <r>
      <rPr>
        <b/>
        <sz val="10"/>
        <rFont val="Times New Roman"/>
        <family val="1"/>
      </rPr>
      <t>Unrestricted State Non-Arbitrage Program (SNAP Pool) Funds</t>
    </r>
    <r>
      <rPr>
        <sz val="10"/>
        <rFont val="Times New Roman"/>
        <family val="1"/>
      </rPr>
      <t>, provide the following:</t>
    </r>
  </si>
  <si>
    <t>Tab 2 - Part 1 Receivables</t>
  </si>
  <si>
    <t>Tab 2 - Part 2 Contributions Receivable</t>
  </si>
  <si>
    <t>Provide description in box below</t>
  </si>
  <si>
    <t>Total Due From Primary Government</t>
  </si>
  <si>
    <t>Total Due to Primary Government</t>
  </si>
  <si>
    <t>Purpose or Description of Due From</t>
  </si>
  <si>
    <t>Purpose or Description of Due To</t>
  </si>
  <si>
    <t>Component Unit Name
 Amount is Due From</t>
  </si>
  <si>
    <t>Total Due From Component Units</t>
  </si>
  <si>
    <t>Component Units Name
Amount is Due To</t>
  </si>
  <si>
    <t>Total Due To Component Units</t>
  </si>
  <si>
    <t>Tab 2 - Receivables</t>
  </si>
  <si>
    <t>Tab 3 - Capital Assets</t>
  </si>
  <si>
    <t>Tab 1A, Part 1</t>
  </si>
  <si>
    <t>Tab 1A, Part 2 &amp; 3</t>
  </si>
  <si>
    <t>Tab 1D</t>
  </si>
  <si>
    <t>Tab 3</t>
  </si>
  <si>
    <t>Provide the amount of debt considered Moral Obligation Debt</t>
  </si>
  <si>
    <t>(Enter positive number)</t>
  </si>
  <si>
    <t>(Enter negative number)</t>
  </si>
  <si>
    <t>Component Unit Phone Number:</t>
  </si>
  <si>
    <t xml:space="preserve">Prior Year's Ending Balance </t>
  </si>
  <si>
    <r>
      <t xml:space="preserve">Reporting:  </t>
    </r>
    <r>
      <rPr>
        <sz val="9"/>
        <rFont val="Times New Roman"/>
        <family val="1"/>
      </rPr>
      <t xml:space="preserve">Were pollution remediation obligations, outlays, and recoveries properly reported on the financial statement template in accordance with </t>
    </r>
    <r>
      <rPr>
        <b/>
        <u/>
        <sz val="9"/>
        <rFont val="Times New Roman"/>
        <family val="1"/>
      </rPr>
      <t>GASBS No. 49</t>
    </r>
    <r>
      <rPr>
        <sz val="9"/>
        <rFont val="Times New Roman"/>
        <family val="1"/>
      </rPr>
      <t xml:space="preserve">?  If </t>
    </r>
    <r>
      <rPr>
        <b/>
        <sz val="9"/>
        <rFont val="Times New Roman"/>
        <family val="1"/>
      </rPr>
      <t>no</t>
    </r>
    <r>
      <rPr>
        <sz val="9"/>
        <rFont val="Times New Roman"/>
        <family val="1"/>
      </rPr>
      <t>, explain.</t>
    </r>
  </si>
  <si>
    <r>
      <t xml:space="preserve">Remeasurement: </t>
    </r>
    <r>
      <rPr>
        <sz val="9"/>
        <rFont val="Times New Roman"/>
        <family val="1"/>
      </rPr>
      <t xml:space="preserve"> Has the entity determined if a previous estimate of the pollution remediation liability should be revised based on recognition benchmarks being met or new information indicates a change is needed as required by </t>
    </r>
    <r>
      <rPr>
        <b/>
        <u/>
        <sz val="9"/>
        <rFont val="Times New Roman"/>
        <family val="1"/>
      </rPr>
      <t>GASBS No. 49</t>
    </r>
    <r>
      <rPr>
        <sz val="9"/>
        <rFont val="Times New Roman"/>
        <family val="1"/>
      </rPr>
      <t xml:space="preserve">?   If </t>
    </r>
    <r>
      <rPr>
        <b/>
        <sz val="9"/>
        <rFont val="Times New Roman"/>
        <family val="1"/>
      </rPr>
      <t>no</t>
    </r>
    <r>
      <rPr>
        <sz val="9"/>
        <rFont val="Times New Roman"/>
        <family val="1"/>
      </rPr>
      <t>, explain.</t>
    </r>
  </si>
  <si>
    <t>Notional Amount</t>
  </si>
  <si>
    <r>
      <t xml:space="preserve">Accounting for Recoveries that Become Expected Later:  </t>
    </r>
    <r>
      <rPr>
        <sz val="9"/>
        <rFont val="Times New Roman"/>
        <family val="1"/>
      </rPr>
      <t xml:space="preserve">Did the entity have any recoveries from responsible parties and/or insurance recoveries for pollution remediation liabilities that no longer exist as described in </t>
    </r>
    <r>
      <rPr>
        <b/>
        <u/>
        <sz val="9"/>
        <rFont val="Times New Roman"/>
        <family val="1"/>
      </rPr>
      <t>GASBS No. 49</t>
    </r>
    <r>
      <rPr>
        <sz val="9"/>
        <rFont val="Times New Roman"/>
        <family val="1"/>
      </rPr>
      <t xml:space="preserve"> paragraph 21?  If </t>
    </r>
    <r>
      <rPr>
        <b/>
        <sz val="9"/>
        <rFont val="Times New Roman"/>
        <family val="1"/>
      </rPr>
      <t>yes</t>
    </r>
    <r>
      <rPr>
        <sz val="9"/>
        <rFont val="Times New Roman"/>
        <family val="1"/>
      </rPr>
      <t>, provide a description, source of recoveries, amount, and FST line items these amounts are reported on.</t>
    </r>
  </si>
  <si>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</si>
  <si>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</si>
  <si>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</si>
  <si>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</si>
  <si>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</si>
  <si>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</si>
  <si>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</si>
  <si>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</si>
  <si>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OLD DOMINION UNIVERSITY</t>
  </si>
  <si>
    <t>RICHARD BLAND COLLEGE</t>
  </si>
  <si>
    <t>CHRISTOPHER NEWPORT UNIVERSITY</t>
  </si>
  <si>
    <t>UNIVERSITY OF VIRGINIA'S COLLEGE AT WISE</t>
  </si>
  <si>
    <t>GEORGE MASON UNIVERSITY</t>
  </si>
  <si>
    <t>VIRGINIA COMMUNITY COLLEGE SYSTEM</t>
  </si>
  <si>
    <t>NEW RIVER COMMUNITY COLLEGE</t>
  </si>
  <si>
    <t>SOUTHSIDE VIRGINIA COMMUNITY COLLEGE</t>
  </si>
  <si>
    <t>RAPPAHANNOCK COMMUNITY COLLEGE</t>
  </si>
  <si>
    <t>DANVILLE COMMUNITY COLLEGE</t>
  </si>
  <si>
    <t>NORTHERN VIRGINIA COMMUNITY COLLEGE</t>
  </si>
  <si>
    <t>PIEDMONT VIRGINIA COMMUNITY COLLEGE</t>
  </si>
  <si>
    <t>EASTERN SHORE COMMUNITY COLLEGE</t>
  </si>
  <si>
    <t>VIRGINIA WESTERN COMMUNITY COLLEGE</t>
  </si>
  <si>
    <t>WYTHEVILLE COMMUNITY COLLEGE</t>
  </si>
  <si>
    <t>BLUE RIDGE COMMUNITY COLLEGE</t>
  </si>
  <si>
    <t>CENTRAL VIRGINIA COMMUNITY COLLEGE</t>
  </si>
  <si>
    <t>SOUTHWEST VIRGINIA COMMUNITY COLLEGE</t>
  </si>
  <si>
    <t>TIDEWATER COMMUNITY COLLEGE</t>
  </si>
  <si>
    <t>VIRGINIA HIGHLANDS COMMUNITY COLLEGE</t>
  </si>
  <si>
    <t>GERMANNA COMMUNITY COLLEGE</t>
  </si>
  <si>
    <t>MOUNTAIN EMPIRE COMMUNITY COLLEGE</t>
  </si>
  <si>
    <t>ROANOKE HIGHER EDUCATION AUTHORITY</t>
  </si>
  <si>
    <t>NEW COLLEGE INSTITUTE</t>
  </si>
  <si>
    <t>VIRGINIA COLLEGE BUILDING AUTHORITY</t>
  </si>
  <si>
    <t xml:space="preserve"> </t>
  </si>
  <si>
    <t>ASSISTIVE TECHNOLOGY LOAN FUND AUTHORITY</t>
  </si>
  <si>
    <t>DANVILLE SCIENCE CENTER, INC.</t>
  </si>
  <si>
    <t>FORT MONROE AUTHORITY</t>
  </si>
  <si>
    <t>HAMPTON ROADS SANITATION DISTRICT COMMISSION</t>
  </si>
  <si>
    <t>LIBRARY OF VIRGINIA FOUNDATION</t>
  </si>
  <si>
    <t>VIRGINIA COMMERCIAL SPACE FLIGHT AUTHORITY</t>
  </si>
  <si>
    <t>VIRGINIA ECONOMIC DEVELOPMENT PARTNERSHIP</t>
  </si>
  <si>
    <t>VIRGINIA HOUSING DEVELOPMENT AUTHORITY</t>
  </si>
  <si>
    <t>VIRGINIA LAND CONSERVATION FOUNDATION</t>
  </si>
  <si>
    <t>VIRGINIA MUSEUM OF FINE ARTS FOUNDATION</t>
  </si>
  <si>
    <t>VIRGINIA OFFSHORE WIND DEVELOPMENT AUTHORITY</t>
  </si>
  <si>
    <t>VIRGINIA OUTDOORS FOUNDATION</t>
  </si>
  <si>
    <t>VIRGINIA PORT AUTHORITY</t>
  </si>
  <si>
    <t>VIRGINIA RESOURCES AUTHORITY</t>
  </si>
  <si>
    <t>VIRGINIA SCHOOL FOR THE DEAF AND BLIND FOUNDATION</t>
  </si>
  <si>
    <t>VIRGINIA SMALL BUSINESS FINANCING AUTHORITY</t>
  </si>
  <si>
    <t>VIRGINIA TOURISM AUTHORITY</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</si>
  <si>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</si>
  <si>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</si>
  <si>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</si>
  <si>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</si>
  <si>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</si>
  <si>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</si>
  <si>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</si>
  <si>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</si>
  <si>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</si>
  <si>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</si>
  <si>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</si>
  <si>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</si>
  <si>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</si>
  <si>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</si>
  <si>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</si>
  <si>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</si>
  <si>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</si>
  <si>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</si>
  <si>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</si>
  <si>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</si>
  <si>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</si>
  <si>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</si>
  <si>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</si>
  <si>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</si>
  <si>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</si>
  <si>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</si>
  <si>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</si>
  <si>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</si>
  <si>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</si>
  <si>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</si>
  <si>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</si>
  <si>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</si>
  <si>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</si>
  <si>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</si>
  <si>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</si>
  <si>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</si>
  <si>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</si>
  <si>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</si>
  <si>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</si>
  <si>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</si>
  <si>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</si>
  <si>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</si>
  <si>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</si>
  <si>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</si>
  <si>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</si>
  <si>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</si>
  <si>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</si>
  <si>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</si>
  <si>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</si>
  <si>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Program Revenue - Operating Grants and Contributions</t>
  </si>
  <si>
    <t>List the fair value of those cash equivalents and investments NOT held with the Treasurer of Virginia and SNAP Individual Portfolio that</t>
  </si>
  <si>
    <t>Loss on Sale/Disposal/Impairment of Capital Assets</t>
  </si>
  <si>
    <t>Tab 4:  Long-term Liabilities</t>
  </si>
  <si>
    <t xml:space="preserve">Part 1)  </t>
  </si>
  <si>
    <t xml:space="preserve">Part 2)  </t>
  </si>
  <si>
    <t>a)  Reported amount</t>
  </si>
  <si>
    <t xml:space="preserve">Part 3)  </t>
  </si>
  <si>
    <t>Date:</t>
  </si>
  <si>
    <t xml:space="preserve">1) The entity is compelled to take remediation action because pollution creates an imminent endangerment to public health or welfare or the environment, leaving it little or no discretion to avoid remediation action.  </t>
  </si>
  <si>
    <r>
      <t xml:space="preserve">b)  Provide the amount in 4.2 above that is collateralized in accordance with the Security for Public Deposits Act (Section 2.2-4400 of the </t>
    </r>
    <r>
      <rPr>
        <i/>
        <sz val="10"/>
        <rFont val="Times New Roman"/>
        <family val="1"/>
      </rPr>
      <t>Code of Virginia</t>
    </r>
    <r>
      <rPr>
        <sz val="10"/>
        <rFont val="Times New Roman"/>
        <family val="1"/>
      </rPr>
      <t>)</t>
    </r>
  </si>
  <si>
    <t>Part 1a)  Comparison of Beginning Balances to Prior Year's Ending Balances</t>
  </si>
  <si>
    <t>Installment Purchase Obligations</t>
  </si>
  <si>
    <t>Bonds Payable</t>
  </si>
  <si>
    <t>For differences, provide explanation for the restatement.</t>
  </si>
  <si>
    <t>Notes Payable</t>
  </si>
  <si>
    <t xml:space="preserve">Other </t>
  </si>
  <si>
    <t>Gain on Sale/Disposal/Impairment of Capital Assets</t>
  </si>
  <si>
    <t>Tab 6:  Restatements</t>
  </si>
  <si>
    <t>Tab 7: Inventory</t>
  </si>
  <si>
    <t>Tab 8: Miscellaneous</t>
  </si>
  <si>
    <r>
      <t xml:space="preserve">B) </t>
    </r>
    <r>
      <rPr>
        <b/>
        <sz val="8"/>
        <rFont val="Times New Roman"/>
        <family val="1"/>
      </rPr>
      <t>Impairment Test</t>
    </r>
    <r>
      <rPr>
        <sz val="8"/>
        <rFont val="Times New Roman"/>
        <family val="1"/>
      </rPr>
      <t>:  If yes to A, are the following two factors present:</t>
    </r>
  </si>
  <si>
    <r>
      <t xml:space="preserve">         Is the decline in service utility of the capital asset significant </t>
    </r>
    <r>
      <rPr>
        <b/>
        <sz val="8"/>
        <rFont val="Times New Roman"/>
        <family val="1"/>
      </rPr>
      <t>and</t>
    </r>
    <r>
      <rPr>
        <sz val="8"/>
        <rFont val="Times New Roman"/>
        <family val="1"/>
      </rPr>
      <t xml:space="preserve"> unexpected?</t>
    </r>
  </si>
  <si>
    <r>
      <t xml:space="preserve">C) </t>
    </r>
    <r>
      <rPr>
        <b/>
        <sz val="8"/>
        <rFont val="Times New Roman"/>
        <family val="1"/>
      </rPr>
      <t>Permanent Impairment</t>
    </r>
    <r>
      <rPr>
        <sz val="8"/>
        <rFont val="Times New Roman"/>
        <family val="1"/>
      </rPr>
      <t>:  If yes to A and B, is this considered a permanent impairment?</t>
    </r>
  </si>
  <si>
    <t>Tab 1A, Part 10a</t>
  </si>
  <si>
    <t>Tab 1A, Part  9a</t>
  </si>
  <si>
    <t>Tab 1A, Part 9a</t>
  </si>
  <si>
    <t>Tab 1A, Part 9b</t>
  </si>
  <si>
    <t>Tab 1A, Parts 9b</t>
  </si>
  <si>
    <t>Component Unit Contact:</t>
  </si>
  <si>
    <t xml:space="preserve">Hungarian Forint </t>
  </si>
  <si>
    <t xml:space="preserve">Indian Rupee </t>
  </si>
  <si>
    <t xml:space="preserve">Israeli Shekel </t>
  </si>
  <si>
    <t xml:space="preserve">Japanese Yen </t>
  </si>
  <si>
    <t xml:space="preserve">Malaysian Ringgit </t>
  </si>
  <si>
    <t xml:space="preserve">New Taiwan Dollar </t>
  </si>
  <si>
    <t xml:space="preserve">New Zealand Dollar </t>
  </si>
  <si>
    <t xml:space="preserve">Norwegian Krone </t>
  </si>
  <si>
    <r>
      <t xml:space="preserve">If </t>
    </r>
    <r>
      <rPr>
        <b/>
        <sz val="9"/>
        <rFont val="Times New Roman"/>
        <family val="1"/>
      </rPr>
      <t xml:space="preserve">yes </t>
    </r>
    <r>
      <rPr>
        <sz val="9"/>
        <rFont val="Times New Roman"/>
        <family val="1"/>
      </rPr>
      <t>- Provide disclosure information as to why in the yellow box below.</t>
    </r>
  </si>
  <si>
    <r>
      <t>GASBS No. 47</t>
    </r>
    <r>
      <rPr>
        <b/>
        <sz val="9"/>
        <rFont val="Times New Roman"/>
        <family val="1"/>
      </rPr>
      <t>,</t>
    </r>
    <r>
      <rPr>
        <sz val="9"/>
        <rFont val="Times New Roman"/>
        <family val="1"/>
      </rPr>
      <t xml:space="preserve"> </t>
    </r>
    <r>
      <rPr>
        <i/>
        <sz val="9"/>
        <rFont val="Times New Roman"/>
        <family val="1"/>
      </rPr>
      <t>Accounting for Termination Benefits</t>
    </r>
  </si>
  <si>
    <t>If this specific information is being reported in the footnotes, list the footnote number and the page number where it resides in the Financial Statements below.</t>
  </si>
  <si>
    <t xml:space="preserve">Net Revenue (Expense) </t>
  </si>
  <si>
    <t>Operating and Nonoperating Expenses</t>
  </si>
  <si>
    <t>Program Revenues - Total</t>
  </si>
  <si>
    <t>Due to Primary Government</t>
  </si>
  <si>
    <t>Infrastructure</t>
  </si>
  <si>
    <t>Tab 4A - Short-term Debt</t>
  </si>
  <si>
    <t>Tab References That</t>
  </si>
  <si>
    <t>Balance of defeased debt</t>
  </si>
  <si>
    <t>Bank Balance Amount</t>
  </si>
  <si>
    <r>
      <t xml:space="preserve">Was any inventory donated to your entity?
If </t>
    </r>
    <r>
      <rPr>
        <b/>
        <sz val="8"/>
        <rFont val="Times New Roman"/>
        <family val="1"/>
      </rPr>
      <t>yes</t>
    </r>
    <r>
      <rPr>
        <sz val="8"/>
        <rFont val="Times New Roman"/>
        <family val="1"/>
      </rPr>
      <t>, complete Part 2</t>
    </r>
  </si>
  <si>
    <t xml:space="preserve">b)  Bank balance as of June 30  </t>
  </si>
  <si>
    <t>(Include all short-term debt activity, even if no short-term debt is outstanding at year-end.)</t>
  </si>
  <si>
    <t xml:space="preserve">Swedish Krona </t>
  </si>
  <si>
    <r>
      <t xml:space="preserve">Part 1)  Are cash equivalents and investments properly reported in accordance with </t>
    </r>
    <r>
      <rPr>
        <b/>
        <u/>
        <sz val="10"/>
        <rFont val="Times New Roman"/>
        <family val="1"/>
      </rPr>
      <t>GASBS No. 31</t>
    </r>
    <r>
      <rPr>
        <sz val="10"/>
        <rFont val="Times New Roman"/>
        <family val="1"/>
      </rPr>
      <t xml:space="preserve">, </t>
    </r>
    <r>
      <rPr>
        <i/>
        <sz val="10"/>
        <rFont val="Times New Roman"/>
        <family val="1"/>
      </rPr>
      <t xml:space="preserve">Accounting and Financial Reporting </t>
    </r>
  </si>
  <si>
    <t>Note B</t>
  </si>
  <si>
    <t xml:space="preserve">British Pound Sterling </t>
  </si>
  <si>
    <t xml:space="preserve">Canadian Dollar </t>
  </si>
  <si>
    <t xml:space="preserve">Colombian Peso </t>
  </si>
  <si>
    <t xml:space="preserve">Czech Koruna </t>
  </si>
  <si>
    <t xml:space="preserve">Danish Krone </t>
  </si>
  <si>
    <t xml:space="preserve">Egyptian Pound </t>
  </si>
  <si>
    <t xml:space="preserve">Euro Currency Unit </t>
  </si>
  <si>
    <t xml:space="preserve">Hong Kong Dollar </t>
  </si>
  <si>
    <t>TOTAL LIABILITIES</t>
  </si>
  <si>
    <t>Receivables, Net - Total</t>
  </si>
  <si>
    <t>Virginia Land Conservation Foundation</t>
  </si>
  <si>
    <t>Virginia Arts Foundation</t>
  </si>
  <si>
    <t>Assistive Technology Loan Fund Authority</t>
  </si>
  <si>
    <t>Virginia Economic Development Partnership</t>
  </si>
  <si>
    <t>Virginia Tourism Authority</t>
  </si>
  <si>
    <t>Tab 10</t>
  </si>
  <si>
    <t>Part 1)  Schedule of Changes in Capital Assets</t>
  </si>
  <si>
    <t>(linked)</t>
  </si>
  <si>
    <t>Prior</t>
  </si>
  <si>
    <t>Year's Ending</t>
  </si>
  <si>
    <t>Differences</t>
  </si>
  <si>
    <t>(provide explanations below)</t>
  </si>
  <si>
    <t>Component Unit Comment:</t>
  </si>
  <si>
    <t>Provide a description of the short-term debt items listed above, including the purpose for which it was issued.</t>
  </si>
  <si>
    <t>Revision Date</t>
  </si>
  <si>
    <t xml:space="preserve">Row Number </t>
  </si>
  <si>
    <t>Column Letter</t>
  </si>
  <si>
    <t>Previous Information</t>
  </si>
  <si>
    <t>Revised Information</t>
  </si>
  <si>
    <t>Amortized Cost - provided that fair value is not significantly affected by the impairment of the credit standing of the issuer or by other factors</t>
  </si>
  <si>
    <t>Component Unit Number or Acronym:</t>
  </si>
  <si>
    <t>Tab Name</t>
  </si>
  <si>
    <t>Bond Anticipation Notes - Due Within One Year</t>
  </si>
  <si>
    <t>Bond Anticipation Notes - Due Greater Than One Year</t>
  </si>
  <si>
    <t>Other Financing Sources (Uses)</t>
  </si>
  <si>
    <t>Bond Anticipation Notes</t>
  </si>
  <si>
    <t>Add: Unamortized Premium (positive amount)</t>
  </si>
  <si>
    <t>Enter a decimal to two decimal places (i.e. 5.45)</t>
  </si>
  <si>
    <t>Amortized Cost - provided that the fair value is not significantly affected by the impairment of the credit standing of the issuer or by other factors</t>
  </si>
  <si>
    <t>Note A</t>
  </si>
  <si>
    <t>1c)</t>
  </si>
  <si>
    <t>1d)</t>
  </si>
  <si>
    <t>1e)</t>
  </si>
  <si>
    <t>1f)</t>
  </si>
  <si>
    <t>1g)</t>
  </si>
  <si>
    <t>Fair Value</t>
  </si>
  <si>
    <t xml:space="preserve">Participating interest-earning investment contracts with a remaining maturity at the time of purchase of one year or less </t>
  </si>
  <si>
    <t xml:space="preserve">reported at fair value rather than amortized cost. </t>
  </si>
  <si>
    <t xml:space="preserve">Tab 1A - Detail </t>
  </si>
  <si>
    <t>Drop-down list:  DO NOT MANIPULATE BELOW</t>
  </si>
  <si>
    <t>Yes</t>
  </si>
  <si>
    <t>Component Unit Name:</t>
  </si>
  <si>
    <t>Total Restricted Cash Equivalents held with Treasurer of VA</t>
  </si>
  <si>
    <t>Method used to determine value</t>
  </si>
  <si>
    <t>General description of inventory on hand</t>
  </si>
  <si>
    <t>Cost used to determine value</t>
  </si>
  <si>
    <t>Lower of Cost or Market</t>
  </si>
  <si>
    <t>Restricted Cash held with the Treasurer of Virginia (GLA 101)</t>
  </si>
  <si>
    <t xml:space="preserve"> Cash not held with the Treasurer of Virginia</t>
  </si>
  <si>
    <t>Restricted Cash not held with the Treasurer of Virginia</t>
  </si>
  <si>
    <t>Drop Down List information (Do not edit below)</t>
  </si>
  <si>
    <t>Retainage Payable</t>
  </si>
  <si>
    <t xml:space="preserve"> Cash Equivalents with the Treasurer of Virginia - Securities Lending</t>
  </si>
  <si>
    <t>Component Unit Template</t>
  </si>
  <si>
    <t>Tab 1B - Cash Eq. &amp; Inv. Not w Tr</t>
  </si>
  <si>
    <t>Tab 1A - Detail</t>
  </si>
  <si>
    <t>Tab 1C - Foreign Currency Inv</t>
  </si>
  <si>
    <t>Tab 4 - LT Liabilities</t>
  </si>
  <si>
    <t>Tab 7 - Inventory</t>
  </si>
  <si>
    <t>Tab 5 - Commitments</t>
  </si>
  <si>
    <t>Tab 6 - Restatements</t>
  </si>
  <si>
    <t>Tab 8 - Miscellaneous</t>
  </si>
  <si>
    <t>Tab 9 - Imprmnt. Of Cap. Assets</t>
  </si>
  <si>
    <t>Computer Software (including websites)</t>
  </si>
  <si>
    <r>
      <t>GASBS No. 38</t>
    </r>
    <r>
      <rPr>
        <sz val="9"/>
        <rFont val="Times New Roman"/>
        <family val="1"/>
      </rPr>
      <t xml:space="preserve">, </t>
    </r>
    <r>
      <rPr>
        <i/>
        <sz val="9"/>
        <rFont val="Times New Roman"/>
        <family val="1"/>
      </rPr>
      <t>Certain Financial Statement Note Disclosures</t>
    </r>
    <r>
      <rPr>
        <sz val="9"/>
        <rFont val="Times New Roman"/>
        <family val="1"/>
      </rPr>
      <t>, requires disclosure of any significant violations of finance-related legal or contractual provisions.  Does the entity have any significant violations of finance-related legal or contractual provisions that need to be disclosed?</t>
    </r>
  </si>
  <si>
    <r>
      <t xml:space="preserve">If </t>
    </r>
    <r>
      <rPr>
        <b/>
        <sz val="9"/>
        <rFont val="Times New Roman"/>
        <family val="1"/>
      </rPr>
      <t>yes</t>
    </r>
    <r>
      <rPr>
        <sz val="9"/>
        <rFont val="Times New Roman"/>
        <family val="1"/>
      </rPr>
      <t xml:space="preserve"> - Provide disclosure information in the yellow box below.</t>
    </r>
  </si>
  <si>
    <r>
      <t xml:space="preserve">If </t>
    </r>
    <r>
      <rPr>
        <b/>
        <sz val="9"/>
        <rFont val="Times New Roman"/>
        <family val="1"/>
      </rPr>
      <t xml:space="preserve">yes </t>
    </r>
    <r>
      <rPr>
        <sz val="9"/>
        <rFont val="Times New Roman"/>
        <family val="1"/>
      </rPr>
      <t>- Provide disclosure information in the yellow box below.</t>
    </r>
  </si>
  <si>
    <t xml:space="preserve">       </t>
  </si>
  <si>
    <t xml:space="preserve">Part 4)  </t>
  </si>
  <si>
    <t xml:space="preserve">Part 5)  </t>
  </si>
  <si>
    <t xml:space="preserve">     </t>
  </si>
  <si>
    <t>U. S. Treasury and Agency Securities</t>
  </si>
  <si>
    <t>Commercial Paper</t>
  </si>
  <si>
    <t>Banker's Acceptance</t>
  </si>
  <si>
    <t>Negotiable Certificates of Deposit</t>
  </si>
  <si>
    <t>Reverse Repurchase Agreements</t>
  </si>
  <si>
    <t>Repurchase Agreements</t>
  </si>
  <si>
    <t>Municipal Securities</t>
  </si>
  <si>
    <t>Asset Backed Securities</t>
  </si>
  <si>
    <t>Guaranteed Investment Contracts</t>
  </si>
  <si>
    <t>Fixed Income and Commingled Funds</t>
  </si>
  <si>
    <t>Common and Preferred Stocks</t>
  </si>
  <si>
    <t>Foreign Currencies</t>
  </si>
  <si>
    <t>Equity Index and Pooled Funds</t>
  </si>
  <si>
    <t>Real Estate</t>
  </si>
  <si>
    <t>Deposits</t>
  </si>
  <si>
    <t>Part 2.1)</t>
  </si>
  <si>
    <t>Nonnegotiable Certificates of Deposit (not held with the Treasurer of VA)</t>
  </si>
  <si>
    <t>Part 4.1)</t>
  </si>
  <si>
    <t>Part 4.2)</t>
  </si>
  <si>
    <t>Long-term Liabilities - Due Within One Year</t>
  </si>
  <si>
    <t>Bonds Payable - Due Greater Than One Year</t>
  </si>
  <si>
    <t>Total</t>
  </si>
  <si>
    <t>Total Unrestricted Investments held with Treasurer of VA</t>
  </si>
  <si>
    <t>Total Restricted Investments held with Treasurer of VA</t>
  </si>
  <si>
    <t xml:space="preserve">Part 9)  </t>
  </si>
  <si>
    <t xml:space="preserve">Total </t>
  </si>
  <si>
    <t xml:space="preserve">Part 10)  </t>
  </si>
  <si>
    <t>SNAP Account #</t>
  </si>
  <si>
    <t>Component Unit Contact Name:</t>
  </si>
  <si>
    <t>Contributions Receivable, Net</t>
  </si>
  <si>
    <t>Trust and Annuity Obligations-Due Within One Year</t>
  </si>
  <si>
    <t>Trust and Annuity Obligations-Due Greater Than One Year</t>
  </si>
  <si>
    <t>Trust and Annuity Obligations</t>
  </si>
  <si>
    <t>Virginia Pooled Investment Program</t>
  </si>
  <si>
    <t xml:space="preserve">Does the entity have any works of art and/or historical treasures that are not capitalized?  </t>
  </si>
  <si>
    <r>
      <t xml:space="preserve">If </t>
    </r>
    <r>
      <rPr>
        <b/>
        <sz val="8"/>
        <rFont val="Times New Roman"/>
        <family val="1"/>
      </rPr>
      <t>yes</t>
    </r>
    <r>
      <rPr>
        <sz val="8"/>
        <rFont val="Times New Roman"/>
        <family val="1"/>
      </rPr>
      <t xml:space="preserve"> - Provide a description of the works of art and/or historical treasure not capitalized.</t>
    </r>
  </si>
  <si>
    <r>
      <t xml:space="preserve">If </t>
    </r>
    <r>
      <rPr>
        <b/>
        <sz val="8"/>
        <rFont val="Times New Roman"/>
        <family val="1"/>
      </rPr>
      <t xml:space="preserve">no </t>
    </r>
    <r>
      <rPr>
        <sz val="8"/>
        <rFont val="Times New Roman"/>
        <family val="1"/>
      </rPr>
      <t>- Additional explanation not required.</t>
    </r>
  </si>
  <si>
    <t>Operating Appropriations from Primary Government</t>
  </si>
  <si>
    <t>Unrestricted Grants and Contributions</t>
  </si>
  <si>
    <t>Investment Earnings</t>
  </si>
  <si>
    <t>Tobacco Master Settlement</t>
  </si>
  <si>
    <t>General Revenue - Total</t>
  </si>
  <si>
    <t>Transfers from Component Units</t>
  </si>
  <si>
    <t>Are there any contingent liabilities that should be disclosed?</t>
  </si>
  <si>
    <t>Other Disclosures:  Contingent Liabilities</t>
  </si>
  <si>
    <t>Other Disclosures:  Subsequent Events</t>
  </si>
  <si>
    <t>Gifts and Grants</t>
  </si>
  <si>
    <t>Variance $</t>
  </si>
  <si>
    <t>Variance %</t>
  </si>
  <si>
    <t xml:space="preserve">  Depreciable Works of Art/Historical Treasures</t>
  </si>
  <si>
    <t xml:space="preserve">  Infrastructure (historical approach)</t>
  </si>
  <si>
    <t xml:space="preserve">Increase in Value of Split-Interest Agreements </t>
  </si>
  <si>
    <t xml:space="preserve">Australian Dollar </t>
  </si>
  <si>
    <t>Program Expenses - Total</t>
  </si>
  <si>
    <t>Vendor</t>
  </si>
  <si>
    <t>Part 1:  Schedule of Changes in Long-term Liabilities:</t>
  </si>
  <si>
    <r>
      <t xml:space="preserve">Miscellaneous </t>
    </r>
    <r>
      <rPr>
        <sz val="9"/>
        <rFont val="Times New Roman"/>
        <family val="1"/>
      </rPr>
      <t>(only enter a positive amount)</t>
    </r>
  </si>
  <si>
    <t>Must be Completed</t>
  </si>
  <si>
    <t>Virginia Foundation for Healthy Youth</t>
  </si>
  <si>
    <t>If the method is not consistent with the prior year, provide disclosure information related to the restatement in box below.</t>
  </si>
  <si>
    <t>Long-term Liabilities - Due Greater Than One Year</t>
  </si>
  <si>
    <t>Part 2:  Bonds Payable</t>
  </si>
  <si>
    <t>Due from Component Units</t>
  </si>
  <si>
    <t>Due from Primary Government</t>
  </si>
  <si>
    <t>Statement of Activities</t>
  </si>
  <si>
    <t>Program Revenues</t>
  </si>
  <si>
    <t>Expendable</t>
  </si>
  <si>
    <t>Charges for Services</t>
  </si>
  <si>
    <t>Operating Grants and Contributions</t>
  </si>
  <si>
    <t>Program Expenses</t>
  </si>
  <si>
    <t>1a)</t>
  </si>
  <si>
    <r>
      <t xml:space="preserve">If </t>
    </r>
    <r>
      <rPr>
        <b/>
        <sz val="8"/>
        <rFont val="Times New Roman"/>
        <family val="1"/>
      </rPr>
      <t>no</t>
    </r>
    <r>
      <rPr>
        <sz val="8"/>
        <rFont val="Times New Roman"/>
        <family val="1"/>
      </rPr>
      <t xml:space="preserve"> - Stop. There is no need to complete this footnote.</t>
    </r>
  </si>
  <si>
    <t>Short-term debt is that debt (anticipation notes, lines of credit, and similar loans) owed to a party external to the Commonwealth.</t>
  </si>
  <si>
    <t>YES/NO/N/A</t>
  </si>
  <si>
    <t>Explanations for Restatement:</t>
  </si>
  <si>
    <t xml:space="preserve">  Land</t>
  </si>
  <si>
    <t xml:space="preserve">  Construction in Progress</t>
  </si>
  <si>
    <t xml:space="preserve">  Buildings</t>
  </si>
  <si>
    <t xml:space="preserve">  Infrastructure</t>
  </si>
  <si>
    <t xml:space="preserve">  Equipment</t>
  </si>
  <si>
    <t xml:space="preserve">  Improvements Other Than Buildings</t>
  </si>
  <si>
    <r>
      <t xml:space="preserve">Special Items </t>
    </r>
    <r>
      <rPr>
        <sz val="9"/>
        <rFont val="Times New Roman"/>
        <family val="1"/>
      </rPr>
      <t>(include description)</t>
    </r>
  </si>
  <si>
    <r>
      <t>GASBS No. 48</t>
    </r>
    <r>
      <rPr>
        <sz val="9"/>
        <rFont val="Times New Roman"/>
        <family val="1"/>
      </rPr>
      <t xml:space="preserve">, </t>
    </r>
    <r>
      <rPr>
        <i/>
        <sz val="9"/>
        <rFont val="Times New Roman"/>
        <family val="1"/>
      </rPr>
      <t>Sales and Pledges of Receivables and Future Revenues and Intra-Entity Transfers of Assets and Future Revenues</t>
    </r>
  </si>
  <si>
    <t xml:space="preserve">Tab 1A, Part 8d </t>
  </si>
  <si>
    <t>Tab 1A, Part 4 &amp; 5</t>
  </si>
  <si>
    <t>If it is not specifically disclosed in the statements or the footnotes, place an "N/A" for that section and complete the section.</t>
  </si>
  <si>
    <t>Part 1)</t>
  </si>
  <si>
    <t>Part 2)</t>
  </si>
  <si>
    <t>Part 3)</t>
  </si>
  <si>
    <t>Provide an explanation if the reported amount is negative</t>
  </si>
  <si>
    <t xml:space="preserve"> Cash and Cash Equivalents - Total</t>
  </si>
  <si>
    <t xml:space="preserve"> Investments with the Treasurer of Virginia - Securities Lending</t>
  </si>
  <si>
    <t xml:space="preserve"> Investments - Total</t>
  </si>
  <si>
    <t>Drop down list:</t>
  </si>
  <si>
    <t>No</t>
  </si>
  <si>
    <t xml:space="preserve">In the space provided below, briefly describe the useful life methodology that has been developed.  Ensure this addresses how the methodology was developed. </t>
  </si>
  <si>
    <t xml:space="preserve">  Other Long-term Liabilities</t>
  </si>
  <si>
    <t>PRIOR YEAR BALANCES</t>
  </si>
  <si>
    <t>Virginia School for the Deaf and Blind Foundation</t>
  </si>
  <si>
    <t>Part 2.2)</t>
  </si>
  <si>
    <t>Agency Unsecured Bonds and Notes</t>
  </si>
  <si>
    <t>Classification of Restricted Cash, Cash Equivalents, and Investments</t>
  </si>
  <si>
    <r>
      <t>GASBS No. 49</t>
    </r>
    <r>
      <rPr>
        <sz val="9"/>
        <rFont val="Times New Roman"/>
        <family val="1"/>
      </rPr>
      <t xml:space="preserve">,  </t>
    </r>
    <r>
      <rPr>
        <i/>
        <sz val="9"/>
        <rFont val="Times New Roman"/>
        <family val="1"/>
      </rPr>
      <t>Accounting and Financial Reporting for Pollution Remediation Obligations</t>
    </r>
  </si>
  <si>
    <r>
      <t>Part 3)</t>
    </r>
    <r>
      <rPr>
        <sz val="9"/>
        <rFont val="Times New Roman"/>
        <family val="1"/>
      </rPr>
      <t xml:space="preserve">  Were the transactions to record the termination of the hedging derivative instrument - effective hedge properly reported on the financial statement template in accordance with </t>
    </r>
    <r>
      <rPr>
        <b/>
        <u/>
        <sz val="9"/>
        <rFont val="Times New Roman"/>
        <family val="1"/>
      </rPr>
      <t>GASBS No. 53</t>
    </r>
    <r>
      <rPr>
        <sz val="9"/>
        <rFont val="Times New Roman"/>
        <family val="1"/>
      </rPr>
      <t xml:space="preserve">?  If </t>
    </r>
    <r>
      <rPr>
        <b/>
        <sz val="9"/>
        <rFont val="Times New Roman"/>
        <family val="1"/>
      </rPr>
      <t>no</t>
    </r>
    <r>
      <rPr>
        <sz val="9"/>
        <rFont val="Times New Roman"/>
        <family val="1"/>
      </rPr>
      <t>, explain.</t>
    </r>
  </si>
  <si>
    <t xml:space="preserve">     Total Net Receivables</t>
  </si>
  <si>
    <t>Allowance for Doubtful Accounts
(Enter as a negative):</t>
  </si>
  <si>
    <t>Balance</t>
  </si>
  <si>
    <t>Increases</t>
  </si>
  <si>
    <t>Decreases</t>
  </si>
  <si>
    <t>Nondepreciable Capital Assets:</t>
  </si>
  <si>
    <t>$</t>
  </si>
  <si>
    <t>Prepared by:</t>
  </si>
  <si>
    <t>Name</t>
  </si>
  <si>
    <t>Title</t>
  </si>
  <si>
    <t>Reviewed by:</t>
  </si>
  <si>
    <t xml:space="preserve">    Total Nondepreciable Capital Assets</t>
  </si>
  <si>
    <t>Buildings</t>
  </si>
  <si>
    <t>Equipment</t>
  </si>
  <si>
    <t>Less Accumulated Depreciation for:</t>
  </si>
  <si>
    <t>Component Unit E-mail Address:</t>
  </si>
  <si>
    <r>
      <t xml:space="preserve">Extraordinary Items </t>
    </r>
    <r>
      <rPr>
        <sz val="9"/>
        <rFont val="Times New Roman"/>
        <family val="1"/>
      </rPr>
      <t>(include description)</t>
    </r>
  </si>
  <si>
    <t xml:space="preserve"> Cash held with the Treasurer of Virginia (GLA 101)</t>
  </si>
  <si>
    <t xml:space="preserve"> Cash not with the Treasurer of Virginia</t>
  </si>
  <si>
    <t xml:space="preserve"> Local Government Investment Pool - Cash Equivalents</t>
  </si>
  <si>
    <t xml:space="preserve"> State Non-Arbitrage Program (SNAP) Pool Funds </t>
  </si>
  <si>
    <t xml:space="preserve"> SNAP Individual Portfolio - Cash Equivalents</t>
  </si>
  <si>
    <t xml:space="preserve"> Cash Equivalents with the Treasurer of Virginia (excludes SNAP &amp; LGIP)</t>
  </si>
  <si>
    <t xml:space="preserve"> Cash Equivalents not with the Treasurer of Virginia (excludes SNAP)</t>
  </si>
  <si>
    <t xml:space="preserve"> SNAP Individual Portfolio - Investments</t>
  </si>
  <si>
    <t xml:space="preserve"> Local Government Investment Pool - Investments</t>
  </si>
  <si>
    <t xml:space="preserve"> Investments not with the Treasurer of Virginia (excludes SNAP)</t>
  </si>
  <si>
    <t>Interest Receivable</t>
  </si>
  <si>
    <t xml:space="preserve">  Interest Receivable</t>
  </si>
  <si>
    <t>Nonexpendable</t>
  </si>
  <si>
    <t>2) Estimated pollution remediation liability amount</t>
  </si>
  <si>
    <r>
      <t xml:space="preserve">3) Less: If applicable - expected recoveries not yet realized or realizable (see </t>
    </r>
    <r>
      <rPr>
        <b/>
        <u/>
        <sz val="9"/>
        <rFont val="Times New Roman"/>
        <family val="1"/>
      </rPr>
      <t>GASBS No. 49</t>
    </r>
    <r>
      <rPr>
        <sz val="9"/>
        <rFont val="Times New Roman"/>
        <family val="1"/>
      </rPr>
      <t xml:space="preserve"> paragraph 19a) - enter as a negative amount</t>
    </r>
  </si>
  <si>
    <t>*  N/A: Not Applicable because the component unit does not have this type of investment.</t>
  </si>
  <si>
    <r>
      <t xml:space="preserve">*Per </t>
    </r>
    <r>
      <rPr>
        <b/>
        <u/>
        <sz val="9"/>
        <rFont val="Times New Roman"/>
        <family val="1"/>
      </rPr>
      <t>GASBS No. 49</t>
    </r>
    <r>
      <rPr>
        <sz val="9"/>
        <rFont val="Times New Roman"/>
        <family val="1"/>
      </rPr>
      <t xml:space="preserve">, paragraph 11, an obligating event is when any of the following events occurs (refer to </t>
    </r>
    <r>
      <rPr>
        <b/>
        <u/>
        <sz val="9"/>
        <rFont val="Times New Roman"/>
        <family val="1"/>
      </rPr>
      <t>GASBS No. 49</t>
    </r>
    <r>
      <rPr>
        <sz val="9"/>
        <rFont val="Times New Roman"/>
        <family val="1"/>
      </rPr>
      <t xml:space="preserve"> for guidance):  </t>
    </r>
  </si>
  <si>
    <t>5) Provide the FST line item that the above estimated net pollution remediation liability recognized amount is reported</t>
  </si>
  <si>
    <t>Type (i.e. interest rate swap, interest rate lock, etc.)</t>
  </si>
  <si>
    <t>Total Fair Value of Foreign Currency plus Total Deposits of Foreign Currency</t>
  </si>
  <si>
    <t>blue box to the right.</t>
  </si>
  <si>
    <t>Virginia Housing Development Authority</t>
  </si>
  <si>
    <t>Virginia International Terminals, Inc.</t>
  </si>
  <si>
    <t>Virginia Public School Authority</t>
  </si>
  <si>
    <t>Net Investment in Capital Assets</t>
  </si>
  <si>
    <t>Tab 10:  Net Investment in Capital Assets</t>
  </si>
  <si>
    <t>Total Net Investment in Capital Assets</t>
  </si>
  <si>
    <t>Deficit Net Position Balance</t>
  </si>
  <si>
    <t>9a</t>
  </si>
  <si>
    <t>9b</t>
  </si>
  <si>
    <t>9c</t>
  </si>
  <si>
    <t>9d</t>
  </si>
  <si>
    <t>9e</t>
  </si>
  <si>
    <t>9f</t>
  </si>
  <si>
    <t>9h</t>
  </si>
  <si>
    <t>9i</t>
  </si>
  <si>
    <t xml:space="preserve">Deferred Outflows of Resources (linked to template) </t>
  </si>
  <si>
    <t>If yes, provide amount</t>
  </si>
  <si>
    <t>Overall Category - Description of Deferred Outflows of Resources</t>
  </si>
  <si>
    <t>Overall Category - Description of Deferred Inflows of Resources</t>
  </si>
  <si>
    <t>Ending Net Position Balance per Prior Year's Submission</t>
  </si>
  <si>
    <t>Total Beginning Net Position Balance per Current Year's Financial Statement Template</t>
  </si>
  <si>
    <t>Statement of Net Position Template Line Item</t>
  </si>
  <si>
    <t>Due Greater than One Year</t>
  </si>
  <si>
    <t>Has the entity defeased debt on or before June 30?</t>
  </si>
  <si>
    <r>
      <t xml:space="preserve">  Intangible Assets (</t>
    </r>
    <r>
      <rPr>
        <b/>
        <u/>
        <sz val="8"/>
        <rFont val="Times New Roman"/>
        <family val="1"/>
      </rPr>
      <t>GASBS No. 51</t>
    </r>
    <r>
      <rPr>
        <sz val="8"/>
        <rFont val="Times New Roman"/>
        <family val="1"/>
      </rPr>
      <t>)</t>
    </r>
  </si>
  <si>
    <r>
      <t xml:space="preserve">   Intangible Assets with Indefinite Useful Life (</t>
    </r>
    <r>
      <rPr>
        <b/>
        <u/>
        <sz val="8"/>
        <rFont val="Times New Roman"/>
        <family val="1"/>
      </rPr>
      <t>GASBS No. 51</t>
    </r>
    <r>
      <rPr>
        <sz val="8"/>
        <rFont val="Times New Roman"/>
        <family val="1"/>
      </rPr>
      <t>)</t>
    </r>
  </si>
  <si>
    <t xml:space="preserve">               Does the Component Unit have land and/or other real estate held as investments by endowments*?</t>
  </si>
  <si>
    <r>
      <t xml:space="preserve">              If </t>
    </r>
    <r>
      <rPr>
        <b/>
        <sz val="10"/>
        <rFont val="Times New Roman"/>
        <family val="1"/>
      </rPr>
      <t>no</t>
    </r>
    <r>
      <rPr>
        <sz val="10"/>
        <rFont val="Times New Roman"/>
        <family val="1"/>
      </rPr>
      <t>, provide an explanation below.</t>
    </r>
  </si>
  <si>
    <t xml:space="preserve">         Part 9)  </t>
  </si>
  <si>
    <t>Statement of Net Position</t>
  </si>
  <si>
    <t xml:space="preserve">Deferred Outflows of Resources </t>
  </si>
  <si>
    <t>Total Assets and Deferred Outflows Resources</t>
  </si>
  <si>
    <t xml:space="preserve">Deferred Inflows </t>
  </si>
  <si>
    <t xml:space="preserve">Total Liabilities and Deferred Inflows </t>
  </si>
  <si>
    <t>Net Position</t>
  </si>
  <si>
    <t>TOTAL NET POSITION</t>
  </si>
  <si>
    <t>Change in Net Position</t>
  </si>
  <si>
    <t>Net Position, Beginning</t>
  </si>
  <si>
    <t>Net Position, Ending</t>
  </si>
  <si>
    <t>Beginning Net Position Balances</t>
  </si>
  <si>
    <t>Accounts Receivable, net</t>
  </si>
  <si>
    <t>Total Assets and Deferred Outflows of Resources</t>
  </si>
  <si>
    <t>Liabilities and Deferred Inflows of Resources</t>
  </si>
  <si>
    <t>Assets and Deferred Outflows of Resources</t>
  </si>
  <si>
    <t>Deferred Inflows of Resources</t>
  </si>
  <si>
    <t>Total Liabilities and Deferred Inflows of Resources</t>
  </si>
  <si>
    <r>
      <t>Note a</t>
    </r>
    <r>
      <rPr>
        <sz val="8"/>
        <rFont val="Times New Roman"/>
        <family val="1"/>
      </rPr>
      <t xml:space="preserve">:  Per </t>
    </r>
    <r>
      <rPr>
        <b/>
        <u/>
        <sz val="8"/>
        <rFont val="Times New Roman"/>
        <family val="1"/>
      </rPr>
      <t>GASBS No. 42</t>
    </r>
    <r>
      <rPr>
        <sz val="8"/>
        <rFont val="Times New Roman"/>
        <family val="1"/>
      </rPr>
      <t xml:space="preserve"> paragraph 21, if insurance recoveries are in the same year as the impairment loss, the impairment loss should </t>
    </r>
  </si>
  <si>
    <r>
      <t>Note b</t>
    </r>
    <r>
      <rPr>
        <sz val="8"/>
        <rFont val="Times New Roman"/>
        <family val="1"/>
      </rPr>
      <t xml:space="preserve">:  Per </t>
    </r>
    <r>
      <rPr>
        <b/>
        <u/>
        <sz val="8"/>
        <rFont val="Times New Roman"/>
        <family val="1"/>
      </rPr>
      <t>GASBS No. 42</t>
    </r>
    <r>
      <rPr>
        <sz val="8"/>
        <rFont val="Times New Roman"/>
        <family val="1"/>
      </rPr>
      <t xml:space="preserve"> paragraph 17-footnote 6, reporting impairment losses applies to insured impairments that result in an accounting gain.</t>
    </r>
  </si>
  <si>
    <t>Per FST (Linked)</t>
  </si>
  <si>
    <t xml:space="preserve">Note  </t>
  </si>
  <si>
    <t>reference</t>
  </si>
  <si>
    <t>Virginia Health Workforce Development Authority</t>
  </si>
  <si>
    <t>Answer Required</t>
  </si>
  <si>
    <t>Accounts &amp; Retainage Payable to be paid with unspent proceeds on debt related to capital assets 
(enter as a negative)</t>
  </si>
  <si>
    <t>Other -  Provide descriptions (enter as a positive or negative):</t>
  </si>
  <si>
    <r>
      <t>Purpose</t>
    </r>
    <r>
      <rPr>
        <sz val="9"/>
        <rFont val="Times New Roman"/>
        <family val="1"/>
      </rPr>
      <t>:  This tab is to help ensure completeness of this attachment.  After the attachment is completed please answer the following questions.</t>
    </r>
  </si>
  <si>
    <t>1)</t>
  </si>
  <si>
    <t>There should be no "Error" messages or cells with "Answer Required".  Have you reviewed the submission and removed all Error messages and answered all questions?  If not, investigate and make corrections as deemed necessary.</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</si>
  <si>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</si>
  <si>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</si>
  <si>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</si>
  <si>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</si>
  <si>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3)</t>
  </si>
  <si>
    <r>
      <t>Net Investment in Capital Assets</t>
    </r>
    <r>
      <rPr>
        <sz val="10"/>
        <rFont val="Times New Roman"/>
        <family val="1"/>
      </rPr>
      <t xml:space="preserve">:  Are these amounts properly calculated and reported?  </t>
    </r>
  </si>
  <si>
    <t>4)</t>
  </si>
  <si>
    <r>
      <t>Descriptions</t>
    </r>
    <r>
      <rPr>
        <sz val="10"/>
        <rFont val="Times New Roman"/>
        <family val="1"/>
      </rPr>
      <t>:  For any extraordinary or special items, has a description been provided?  See descriptions below to determine if appropriate.</t>
    </r>
  </si>
  <si>
    <r>
      <t>Extraordinary items</t>
    </r>
    <r>
      <rPr>
        <sz val="10"/>
        <rFont val="Times New Roman"/>
        <family val="1"/>
      </rPr>
      <t xml:space="preserve"> are defined as transactions/events that are both unusual in nature and infrequent in occurrence.  </t>
    </r>
  </si>
  <si>
    <r>
      <t>Special items</t>
    </r>
    <r>
      <rPr>
        <sz val="10"/>
        <rFont val="Times New Roman"/>
        <family val="1"/>
      </rPr>
      <t xml:space="preserve"> are defined as significant transactions/events within the control of management that are either unusual in nature or infrequent in occurrence.</t>
    </r>
  </si>
  <si>
    <t>5)</t>
  </si>
  <si>
    <r>
      <t>"Other" Line Items</t>
    </r>
    <r>
      <rPr>
        <sz val="10"/>
        <rFont val="Times New Roman"/>
        <family val="1"/>
      </rPr>
      <t>:  Are amounts reported on "Other" line items reasonable and has a description been provided?</t>
    </r>
  </si>
  <si>
    <t>6)</t>
  </si>
  <si>
    <t>7)</t>
  </si>
  <si>
    <t xml:space="preserve">a)  Provide the amount in 2.2 above that is covered by federal depository insurance.  </t>
  </si>
  <si>
    <t>Description of insurance recoveries:</t>
  </si>
  <si>
    <t>Financial Statement Template line items:</t>
  </si>
  <si>
    <t xml:space="preserve"> $ Amount</t>
  </si>
  <si>
    <t>Extraordinary Items</t>
  </si>
  <si>
    <r>
      <t>GASBS No. 42</t>
    </r>
    <r>
      <rPr>
        <sz val="9"/>
        <rFont val="Times New Roman"/>
        <family val="1"/>
      </rPr>
      <t>,</t>
    </r>
    <r>
      <rPr>
        <i/>
        <sz val="9"/>
        <rFont val="Times New Roman"/>
        <family val="1"/>
      </rPr>
      <t xml:space="preserve"> Accounting and Financial Reporting for Impairment of Capital Assets and for Insurance Recoveries</t>
    </r>
  </si>
  <si>
    <t>9j</t>
  </si>
  <si>
    <r>
      <t>Reporting of Transactions</t>
    </r>
    <r>
      <rPr>
        <sz val="9"/>
        <rFont val="Times New Roman"/>
        <family val="1"/>
      </rPr>
      <t xml:space="preserve">:  For any "yes" answers in Parts 9a to 9h, were the transactions properly reported on the financial statement template in accordance with </t>
    </r>
    <r>
      <rPr>
        <b/>
        <u/>
        <sz val="9"/>
        <rFont val="Times New Roman"/>
        <family val="1"/>
      </rPr>
      <t>GASBS No. 48</t>
    </r>
    <r>
      <rPr>
        <sz val="9"/>
        <rFont val="Times New Roman"/>
        <family val="1"/>
      </rPr>
      <t xml:space="preserve">?  If </t>
    </r>
    <r>
      <rPr>
        <b/>
        <sz val="9"/>
        <rFont val="Times New Roman"/>
        <family val="1"/>
      </rPr>
      <t>no</t>
    </r>
    <r>
      <rPr>
        <sz val="9"/>
        <rFont val="Times New Roman"/>
        <family val="1"/>
      </rPr>
      <t>, provide a description of the transactions and an explanation in the yellow box below.</t>
    </r>
  </si>
  <si>
    <t xml:space="preserve">10b </t>
  </si>
  <si>
    <t>10h</t>
  </si>
  <si>
    <t>12a</t>
  </si>
  <si>
    <t>12b</t>
  </si>
  <si>
    <t>12c</t>
  </si>
  <si>
    <t>12d</t>
  </si>
  <si>
    <t>12e</t>
  </si>
  <si>
    <t>12f</t>
  </si>
  <si>
    <t>Does the entity as a transferor have more than one contract that qualifies as a Service Concession Arrangement?</t>
  </si>
  <si>
    <t>Does the entity as an operator have more than one contract that qualifies as a Service Concession Arrangement?</t>
  </si>
  <si>
    <t>The total must agree with what is reported on the template</t>
  </si>
  <si>
    <t>#) Overall Category - Description of Expenses</t>
  </si>
  <si>
    <t>#) Overall Category - Description of Revenue</t>
  </si>
  <si>
    <r>
      <t xml:space="preserve">14)  </t>
    </r>
    <r>
      <rPr>
        <b/>
        <sz val="9"/>
        <rFont val="Times New Roman"/>
        <family val="1"/>
      </rPr>
      <t>Revenue Recognition - Government Funds</t>
    </r>
    <r>
      <rPr>
        <sz val="9"/>
        <rFont val="Times New Roman"/>
        <family val="1"/>
      </rPr>
      <t xml:space="preserve"> - Unavailable revenues in governmental funds (</t>
    </r>
    <r>
      <rPr>
        <b/>
        <u/>
        <sz val="9"/>
        <rFont val="Times New Roman"/>
        <family val="1"/>
      </rPr>
      <t>GASBS No. 65</t>
    </r>
    <r>
      <rPr>
        <sz val="9"/>
        <rFont val="Times New Roman"/>
        <family val="1"/>
      </rPr>
      <t xml:space="preserve"> paragraph 30)</t>
    </r>
  </si>
  <si>
    <r>
      <rPr>
        <b/>
        <u/>
        <sz val="9"/>
        <rFont val="Times New Roman"/>
        <family val="1"/>
      </rPr>
      <t>GASBS No. 65</t>
    </r>
    <r>
      <rPr>
        <b/>
        <sz val="9"/>
        <rFont val="Times New Roman"/>
        <family val="1"/>
      </rPr>
      <t xml:space="preserve">, </t>
    </r>
    <r>
      <rPr>
        <i/>
        <sz val="9"/>
        <rFont val="Times New Roman"/>
        <family val="1"/>
      </rPr>
      <t>Items Previously Reported as Assets and Liabilities</t>
    </r>
  </si>
  <si>
    <r>
      <t xml:space="preserve">5) </t>
    </r>
    <r>
      <rPr>
        <b/>
        <sz val="9"/>
        <rFont val="Times New Roman"/>
        <family val="1"/>
      </rPr>
      <t>Lending Activities</t>
    </r>
    <r>
      <rPr>
        <sz val="9"/>
        <rFont val="Times New Roman"/>
        <family val="1"/>
      </rPr>
      <t xml:space="preserve"> - Fees paid related to the purchase of a loan or group of loans (</t>
    </r>
    <r>
      <rPr>
        <b/>
        <u/>
        <sz val="9"/>
        <rFont val="Times New Roman"/>
        <family val="1"/>
      </rPr>
      <t>GASBS No. 65</t>
    </r>
    <r>
      <rPr>
        <sz val="9"/>
        <rFont val="Times New Roman"/>
        <family val="1"/>
      </rPr>
      <t xml:space="preserve"> paragraphs 21 &amp;  24)</t>
    </r>
  </si>
  <si>
    <r>
      <t xml:space="preserve">6) </t>
    </r>
    <r>
      <rPr>
        <b/>
        <sz val="9"/>
        <rFont val="Times New Roman"/>
        <family val="1"/>
      </rPr>
      <t xml:space="preserve">Mortgage Banking Activities </t>
    </r>
    <r>
      <rPr>
        <sz val="9"/>
        <rFont val="Times New Roman"/>
        <family val="1"/>
      </rPr>
      <t>- Direct loan origination costs for loans held for investment 
(</t>
    </r>
    <r>
      <rPr>
        <b/>
        <u/>
        <sz val="9"/>
        <rFont val="Times New Roman"/>
        <family val="1"/>
      </rPr>
      <t>GASBS No. 65</t>
    </r>
    <r>
      <rPr>
        <sz val="9"/>
        <rFont val="Times New Roman"/>
        <family val="1"/>
      </rPr>
      <t xml:space="preserve"> paragraphs 25 &amp; 26)
</t>
    </r>
  </si>
  <si>
    <r>
      <t xml:space="preserve">3) </t>
    </r>
    <r>
      <rPr>
        <b/>
        <sz val="9"/>
        <color theme="1"/>
        <rFont val="Times New Roman"/>
        <family val="1"/>
      </rPr>
      <t xml:space="preserve">Lending Activities </t>
    </r>
    <r>
      <rPr>
        <sz val="9"/>
        <color theme="1"/>
        <rFont val="Times New Roman"/>
        <family val="1"/>
      </rPr>
      <t>- Fees received related to the purchase of a loan or group of loans (</t>
    </r>
    <r>
      <rPr>
        <b/>
        <u/>
        <sz val="9"/>
        <color theme="1"/>
        <rFont val="Times New Roman"/>
        <family val="1"/>
      </rPr>
      <t>GASBS No. 65</t>
    </r>
    <r>
      <rPr>
        <sz val="9"/>
        <color theme="1"/>
        <rFont val="Times New Roman"/>
        <family val="1"/>
      </rPr>
      <t xml:space="preserve"> paragraphs 21 &amp;  24)</t>
    </r>
  </si>
  <si>
    <t>13a</t>
  </si>
  <si>
    <t>13b</t>
  </si>
  <si>
    <t>13c</t>
  </si>
  <si>
    <r>
      <t xml:space="preserve">2) </t>
    </r>
    <r>
      <rPr>
        <b/>
        <sz val="9"/>
        <rFont val="Times New Roman"/>
        <family val="1"/>
      </rPr>
      <t>Operating Leases</t>
    </r>
    <r>
      <rPr>
        <sz val="9"/>
        <rFont val="Times New Roman"/>
        <family val="1"/>
      </rPr>
      <t xml:space="preserve"> - Lessor's initial direct costs of an operating lease  
(</t>
    </r>
    <r>
      <rPr>
        <b/>
        <u/>
        <sz val="9"/>
        <rFont val="Times New Roman"/>
        <family val="1"/>
      </rPr>
      <t>GASBS No. 65</t>
    </r>
    <r>
      <rPr>
        <sz val="9"/>
        <rFont val="Times New Roman"/>
        <family val="1"/>
      </rPr>
      <t xml:space="preserve"> paragraphs 16 &amp; 17)</t>
    </r>
  </si>
  <si>
    <r>
      <t xml:space="preserve">1) </t>
    </r>
    <r>
      <rPr>
        <b/>
        <sz val="9"/>
        <rFont val="Times New Roman"/>
        <family val="1"/>
      </rPr>
      <t>Debt Issuance Costs</t>
    </r>
    <r>
      <rPr>
        <sz val="9"/>
        <rFont val="Times New Roman"/>
        <family val="1"/>
      </rPr>
      <t xml:space="preserve"> - Debt issuance costs, excluding prepaid insurance costs 
(</t>
    </r>
    <r>
      <rPr>
        <b/>
        <u/>
        <sz val="9"/>
        <rFont val="Times New Roman"/>
        <family val="1"/>
      </rPr>
      <t>GASBS No. 65</t>
    </r>
    <r>
      <rPr>
        <sz val="9"/>
        <rFont val="Times New Roman"/>
        <family val="1"/>
      </rPr>
      <t xml:space="preserve"> paragraphs 14 &amp; 15)
</t>
    </r>
  </si>
  <si>
    <r>
      <t xml:space="preserve">Measurement:   </t>
    </r>
    <r>
      <rPr>
        <sz val="9"/>
        <rFont val="Times New Roman"/>
        <family val="1"/>
      </rPr>
      <t xml:space="preserve">If </t>
    </r>
    <r>
      <rPr>
        <b/>
        <sz val="9"/>
        <rFont val="Times New Roman"/>
        <family val="1"/>
      </rPr>
      <t>yes</t>
    </r>
    <r>
      <rPr>
        <sz val="9"/>
        <rFont val="Times New Roman"/>
        <family val="1"/>
      </rPr>
      <t xml:space="preserve"> to 10b, has the pollution remediation liability been reasonably estimated in accordance with </t>
    </r>
    <r>
      <rPr>
        <b/>
        <u/>
        <sz val="9"/>
        <rFont val="Times New Roman"/>
        <family val="1"/>
      </rPr>
      <t>GASBS No. 49</t>
    </r>
    <r>
      <rPr>
        <sz val="9"/>
        <rFont val="Times New Roman"/>
        <family val="1"/>
      </rPr>
      <t xml:space="preserve">?   If </t>
    </r>
    <r>
      <rPr>
        <b/>
        <sz val="9"/>
        <rFont val="Times New Roman"/>
        <family val="1"/>
      </rPr>
      <t>no</t>
    </r>
    <r>
      <rPr>
        <sz val="9"/>
        <rFont val="Times New Roman"/>
        <family val="1"/>
      </rPr>
      <t>, explain the nature of the pollution remediation liabilities that cannot be reasonably estimated and must be disclosed.</t>
    </r>
  </si>
  <si>
    <r>
      <t xml:space="preserve">7) </t>
    </r>
    <r>
      <rPr>
        <b/>
        <sz val="9"/>
        <rFont val="Times New Roman"/>
        <family val="1"/>
      </rPr>
      <t>Mortgage Banking Activities</t>
    </r>
    <r>
      <rPr>
        <sz val="9"/>
        <rFont val="Times New Roman"/>
        <family val="1"/>
      </rPr>
      <t xml:space="preserve"> -  Direct loan origination costs of loans held for sale until loan is sold   
(</t>
    </r>
    <r>
      <rPr>
        <b/>
        <u/>
        <sz val="9"/>
        <rFont val="Times New Roman"/>
        <family val="1"/>
      </rPr>
      <t>GASBS No. 65</t>
    </r>
    <r>
      <rPr>
        <sz val="9"/>
        <rFont val="Times New Roman"/>
        <family val="1"/>
      </rPr>
      <t xml:space="preserve"> paragraphs 25 &amp; 26)
</t>
    </r>
  </si>
  <si>
    <t>Agency Mortgage-Backed</t>
  </si>
  <si>
    <t>Nonnegotiable Certificates of Deposit</t>
  </si>
  <si>
    <t>Mutual and Money Market Funds</t>
  </si>
  <si>
    <t>Money market instruments with a remaining maturity at the time of purchase of one year or less</t>
  </si>
  <si>
    <t xml:space="preserve">  Construction-in-Progress (CIP)</t>
  </si>
  <si>
    <t>Patents/Trademarks/Copyrights</t>
  </si>
  <si>
    <t>Part 3) Works of Art/Historical Treasures</t>
  </si>
  <si>
    <t>Does the entity have any subsequent events that need to be reported and/or disclosed?</t>
  </si>
  <si>
    <r>
      <t xml:space="preserve">Does the entity have any voluntary termination benefits and/or involuntary termination benefits as of June 30 that must be recognized in accordance with this statement (i.e. early retirement incentives, severance benefits, and other termination benefits)? </t>
    </r>
    <r>
      <rPr>
        <b/>
        <u/>
        <sz val="9"/>
        <rFont val="Times New Roman"/>
        <family val="1"/>
      </rPr>
      <t>Note</t>
    </r>
    <r>
      <rPr>
        <sz val="9"/>
        <rFont val="Times New Roman"/>
        <family val="1"/>
      </rPr>
      <t xml:space="preserve">: </t>
    </r>
    <r>
      <rPr>
        <b/>
        <u/>
        <sz val="9"/>
        <rFont val="Times New Roman"/>
        <family val="1"/>
      </rPr>
      <t>GASBS No. 47</t>
    </r>
    <r>
      <rPr>
        <sz val="9"/>
        <rFont val="Times New Roman"/>
        <family val="1"/>
      </rPr>
      <t xml:space="preserve"> excludes postemployment benefits (pensions &amp; OPEB), which are part of the compensation that employers offer in exchange for services received or unemployment compensation.</t>
    </r>
  </si>
  <si>
    <r>
      <t>Note A</t>
    </r>
    <r>
      <rPr>
        <sz val="9"/>
        <rFont val="Times New Roman"/>
        <family val="1"/>
      </rPr>
      <t xml:space="preserve">:  </t>
    </r>
    <r>
      <rPr>
        <b/>
        <u/>
        <sz val="9"/>
        <rFont val="Times New Roman"/>
        <family val="1"/>
      </rPr>
      <t>GASBS No. 48</t>
    </r>
    <r>
      <rPr>
        <sz val="9"/>
        <rFont val="Times New Roman"/>
        <family val="1"/>
      </rPr>
      <t xml:space="preserve"> includes guidance on how to report intra-entity transfers of assets and future revenues (including purchases/donations/transfers) within the same financial reporting entity.  Since component units are part of the Commonwealth's financial reporting entity, the definition of "intra-entity" for purposes of implementing </t>
    </r>
    <r>
      <rPr>
        <b/>
        <u/>
        <sz val="9"/>
        <rFont val="Times New Roman"/>
        <family val="1"/>
      </rPr>
      <t>GASBS No. 48</t>
    </r>
    <r>
      <rPr>
        <sz val="9"/>
        <rFont val="Times New Roman"/>
        <family val="1"/>
      </rPr>
      <t xml:space="preserve"> is not only component units but also other entities reported in the Commonwealth's Comprehensive Annual Financial Report (CAFR).  For a listing of the Commonwealth's intra-entities, go to DOA's website and click on the "Financial Statement Directives" link.</t>
    </r>
  </si>
  <si>
    <r>
      <t>Footnote Disclosures</t>
    </r>
    <r>
      <rPr>
        <sz val="9"/>
        <rFont val="Times New Roman"/>
        <family val="1"/>
      </rPr>
      <t xml:space="preserve">:  DOA previously requested footnote disclosures regarding item 9b Collateralized Borrowings (Pledging) of Future Revenues.  Are any revisions needed to the footnote information previously provided to DOA and/or does any additional footnote disclosures need to be provided in order to comply with the disclosure requirements of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xml:space="preserve">, provide the revised and/or additional footnote disclosures below or submit in a separate document. </t>
    </r>
  </si>
  <si>
    <r>
      <t xml:space="preserve">4) </t>
    </r>
    <r>
      <rPr>
        <b/>
        <sz val="9"/>
        <rFont val="Times New Roman"/>
        <family val="1"/>
      </rPr>
      <t xml:space="preserve">Lending Activities </t>
    </r>
    <r>
      <rPr>
        <sz val="9"/>
        <rFont val="Times New Roman"/>
        <family val="1"/>
      </rPr>
      <t>- Direct loan origination costs (</t>
    </r>
    <r>
      <rPr>
        <b/>
        <u/>
        <sz val="9"/>
        <rFont val="Times New Roman"/>
        <family val="1"/>
      </rPr>
      <t>GASBS No. 65</t>
    </r>
    <r>
      <rPr>
        <sz val="9"/>
        <rFont val="Times New Roman"/>
        <family val="1"/>
      </rPr>
      <t xml:space="preserve"> paragraphs 21 &amp; 22)</t>
    </r>
  </si>
  <si>
    <r>
      <t>Pledging of Future Revenues When No Resources are Received</t>
    </r>
    <r>
      <rPr>
        <sz val="9"/>
        <rFont val="Times New Roman"/>
        <family val="1"/>
      </rPr>
      <t xml:space="preserve">:  Does the entity have any transactions in which the entity has pledged future cash flows of specific revenues but did not receive resources in exchange for that pledge?  If </t>
    </r>
    <r>
      <rPr>
        <b/>
        <sz val="9"/>
        <rFont val="Times New Roman"/>
        <family val="1"/>
      </rPr>
      <t>yes</t>
    </r>
    <r>
      <rPr>
        <sz val="9"/>
        <rFont val="Times New Roman"/>
        <family val="1"/>
      </rPr>
      <t>, provide a description of these transactions and identify the entity that will receive the pledged future revenues in the yellow box below.</t>
    </r>
  </si>
  <si>
    <r>
      <t xml:space="preserve">Expected Recoveries:  </t>
    </r>
    <r>
      <rPr>
        <sz val="9"/>
        <rFont val="Times New Roman"/>
        <family val="1"/>
      </rPr>
      <t xml:space="preserve">Does the entity expect recoveries as described in </t>
    </r>
    <r>
      <rPr>
        <b/>
        <u/>
        <sz val="9"/>
        <rFont val="Times New Roman"/>
        <family val="1"/>
      </rPr>
      <t>GASBS No. 49</t>
    </r>
    <r>
      <rPr>
        <sz val="9"/>
        <rFont val="Times New Roman"/>
        <family val="1"/>
      </rPr>
      <t xml:space="preserve"> paragraphs 19 and 20 from other responsible parties and/or insurance recoveries from policies that indemnify the entity for its pollution remediation obligations?  If </t>
    </r>
    <r>
      <rPr>
        <b/>
        <sz val="9"/>
        <rFont val="Times New Roman"/>
        <family val="1"/>
      </rPr>
      <t>yes</t>
    </r>
    <r>
      <rPr>
        <sz val="9"/>
        <rFont val="Times New Roman"/>
        <family val="1"/>
      </rPr>
      <t>, provide the following: expected recovery amount, source of expected recovery, and indicate if amount is realized or realizable.</t>
    </r>
    <r>
      <rPr>
        <b/>
        <sz val="9"/>
        <rFont val="Times New Roman"/>
        <family val="1"/>
      </rPr>
      <t xml:space="preserve"> </t>
    </r>
  </si>
  <si>
    <r>
      <t xml:space="preserve">2) </t>
    </r>
    <r>
      <rPr>
        <b/>
        <sz val="9"/>
        <rFont val="Times New Roman"/>
        <family val="1"/>
      </rPr>
      <t>Refundings of Debt</t>
    </r>
    <r>
      <rPr>
        <sz val="9"/>
        <rFont val="Times New Roman"/>
        <family val="1"/>
      </rPr>
      <t xml:space="preserve"> - Deferral on debt defeasance - loss:  For current refundings and advance refundings resulting in debt defeasance and the reacquisition price exceeds the net carrying amount of the old debt (</t>
    </r>
    <r>
      <rPr>
        <b/>
        <u/>
        <sz val="9"/>
        <rFont val="Times New Roman"/>
        <family val="1"/>
      </rPr>
      <t>GASBS No. 65</t>
    </r>
    <r>
      <rPr>
        <sz val="9"/>
        <rFont val="Times New Roman"/>
        <family val="1"/>
      </rPr>
      <t xml:space="preserve"> paragraphs 5 &amp;  6)</t>
    </r>
  </si>
  <si>
    <r>
      <t xml:space="preserve">4) </t>
    </r>
    <r>
      <rPr>
        <b/>
        <sz val="9"/>
        <rFont val="Times New Roman"/>
        <family val="1"/>
      </rPr>
      <t>Government-Mandated &amp; Voluntary Nonexchange Transactions</t>
    </r>
    <r>
      <rPr>
        <sz val="9"/>
        <rFont val="Times New Roman"/>
        <family val="1"/>
      </rPr>
      <t>:  Resources providers transmit to recipients before time requirements are met, but after the other eligibility requirements have been met (</t>
    </r>
    <r>
      <rPr>
        <b/>
        <u/>
        <sz val="9"/>
        <rFont val="Times New Roman"/>
        <family val="1"/>
      </rPr>
      <t>GASBS No. 65</t>
    </r>
    <r>
      <rPr>
        <sz val="9"/>
        <rFont val="Times New Roman"/>
        <family val="1"/>
      </rPr>
      <t xml:space="preserve"> paragraphs 8 &amp; 10)</t>
    </r>
  </si>
  <si>
    <r>
      <t xml:space="preserve">5) </t>
    </r>
    <r>
      <rPr>
        <b/>
        <sz val="9"/>
        <rFont val="Times New Roman"/>
        <family val="1"/>
      </rPr>
      <t>Intra-Entity Transfers of Future Revenues</t>
    </r>
    <r>
      <rPr>
        <sz val="9"/>
        <rFont val="Times New Roman"/>
        <family val="1"/>
      </rPr>
      <t xml:space="preserve"> - Amount the transferee government paid to the transferor government in an intra-entity sale of future revenues (</t>
    </r>
    <r>
      <rPr>
        <b/>
        <u/>
        <sz val="9"/>
        <rFont val="Times New Roman"/>
        <family val="1"/>
      </rPr>
      <t>GASBS No. 65</t>
    </r>
    <r>
      <rPr>
        <sz val="9"/>
        <rFont val="Times New Roman"/>
        <family val="1"/>
      </rPr>
      <t xml:space="preserve"> paragraphs 11 &amp;  13)</t>
    </r>
  </si>
  <si>
    <r>
      <t xml:space="preserve">3) </t>
    </r>
    <r>
      <rPr>
        <b/>
        <sz val="9"/>
        <rFont val="Times New Roman"/>
        <family val="1"/>
      </rPr>
      <t>Insurance Activities</t>
    </r>
    <r>
      <rPr>
        <sz val="9"/>
        <rFont val="Times New Roman"/>
        <family val="1"/>
      </rPr>
      <t xml:space="preserve"> - Acquisition costs related to insurance activities  
(</t>
    </r>
    <r>
      <rPr>
        <b/>
        <u/>
        <sz val="9"/>
        <rFont val="Times New Roman"/>
        <family val="1"/>
      </rPr>
      <t>GASBS No. 65</t>
    </r>
    <r>
      <rPr>
        <sz val="9"/>
        <rFont val="Times New Roman"/>
        <family val="1"/>
      </rPr>
      <t xml:space="preserve"> paragraphs 19 &amp; 20)
</t>
    </r>
    <r>
      <rPr>
        <b/>
        <u/>
        <sz val="9"/>
        <rFont val="Times New Roman"/>
        <family val="1"/>
      </rPr>
      <t>Note</t>
    </r>
    <r>
      <rPr>
        <sz val="9"/>
        <rFont val="Times New Roman"/>
        <family val="1"/>
      </rPr>
      <t xml:space="preserve">:  </t>
    </r>
    <r>
      <rPr>
        <b/>
        <u/>
        <sz val="9"/>
        <rFont val="Times New Roman"/>
        <family val="1"/>
      </rPr>
      <t>GASBS No. 62</t>
    </r>
    <r>
      <rPr>
        <sz val="9"/>
        <rFont val="Times New Roman"/>
        <family val="1"/>
      </rPr>
      <t xml:space="preserve"> paragraphs 400 - 430 establish accounting and financial reporting standards for short-duration insurance contracts underwritten by insurance entities other than public entity risk pools and </t>
    </r>
    <r>
      <rPr>
        <b/>
        <u/>
        <sz val="9"/>
        <rFont val="Times New Roman"/>
        <family val="1"/>
      </rPr>
      <t>GASBS No. 10</t>
    </r>
    <r>
      <rPr>
        <sz val="9"/>
        <rFont val="Times New Roman"/>
        <family val="1"/>
      </rPr>
      <t xml:space="preserve"> paragraphs 17-51 &amp; 81 establish accounting and financial reporting standards for public entity risk pools.  In addition, </t>
    </r>
    <r>
      <rPr>
        <b/>
        <u/>
        <sz val="9"/>
        <rFont val="Times New Roman"/>
        <family val="1"/>
      </rPr>
      <t>GASBS No. 62</t>
    </r>
    <r>
      <rPr>
        <sz val="9"/>
        <rFont val="Times New Roman"/>
        <family val="1"/>
      </rPr>
      <t xml:space="preserve"> paragraph 412 and </t>
    </r>
    <r>
      <rPr>
        <b/>
        <u/>
        <sz val="9"/>
        <rFont val="Times New Roman"/>
        <family val="1"/>
      </rPr>
      <t>GASBS No. 10</t>
    </r>
    <r>
      <rPr>
        <sz val="9"/>
        <rFont val="Times New Roman"/>
        <family val="1"/>
      </rPr>
      <t xml:space="preserve"> paragraph 28 define acquisition costs as costs that vary with and are primarily related to the acquisition of new and renewal insurance contracts.  Commissions and other costs (i.e., salaries of certain employees involved in the underwriting and policy issue functions, and medical and inspection fees) primarily related to insurance contracts issued or renewed during the period in which the costs are incurred should be considered acquisition costs.</t>
    </r>
  </si>
  <si>
    <r>
      <t xml:space="preserve">1) </t>
    </r>
    <r>
      <rPr>
        <b/>
        <sz val="9"/>
        <rFont val="Times New Roman"/>
        <family val="1"/>
      </rPr>
      <t>Lending Activities</t>
    </r>
    <r>
      <rPr>
        <sz val="9"/>
        <rFont val="Times New Roman"/>
        <family val="1"/>
      </rPr>
      <t xml:space="preserve"> -  In lending activities, loan origination fees (excluding portion for points) received by lender (</t>
    </r>
    <r>
      <rPr>
        <b/>
        <u/>
        <sz val="9"/>
        <rFont val="Times New Roman"/>
        <family val="1"/>
      </rPr>
      <t>GASBS No. 65</t>
    </r>
    <r>
      <rPr>
        <sz val="9"/>
        <rFont val="Times New Roman"/>
        <family val="1"/>
      </rPr>
      <t xml:space="preserve"> paragraphs 21 &amp; 22)</t>
    </r>
  </si>
  <si>
    <r>
      <t xml:space="preserve">2) </t>
    </r>
    <r>
      <rPr>
        <b/>
        <sz val="9"/>
        <color theme="1"/>
        <rFont val="Times New Roman"/>
        <family val="1"/>
      </rPr>
      <t>Lending Activities</t>
    </r>
    <r>
      <rPr>
        <sz val="9"/>
        <color theme="1"/>
        <rFont val="Times New Roman"/>
        <family val="1"/>
      </rPr>
      <t xml:space="preserve"> - commitment fees received for a commitment to originate or purchase a loan or group of loans should be recorded as a liability and if the commitment is exercised, recognize as revenue in the period of exercise.  If government's experience with similar arrangements indicate the likelihood commitment will be exercised is remote, recognize as revenue in period received. (</t>
    </r>
    <r>
      <rPr>
        <b/>
        <u/>
        <sz val="9"/>
        <color theme="1"/>
        <rFont val="Times New Roman"/>
        <family val="1"/>
      </rPr>
      <t>GASBS No. 65</t>
    </r>
    <r>
      <rPr>
        <sz val="9"/>
        <color theme="1"/>
        <rFont val="Times New Roman"/>
        <family val="1"/>
      </rPr>
      <t xml:space="preserve"> paragraphs 21 &amp; 23)</t>
    </r>
  </si>
  <si>
    <r>
      <rPr>
        <b/>
        <sz val="9"/>
        <rFont val="Times New Roman"/>
        <family val="1"/>
      </rPr>
      <t>Reporting</t>
    </r>
    <r>
      <rPr>
        <sz val="9"/>
        <rFont val="Times New Roman"/>
        <family val="1"/>
      </rPr>
      <t xml:space="preserve">:  Were items properly reported on the template in accordance with </t>
    </r>
    <r>
      <rPr>
        <b/>
        <u/>
        <sz val="9"/>
        <rFont val="Times New Roman"/>
        <family val="1"/>
      </rPr>
      <t>GASBS No. 65</t>
    </r>
    <r>
      <rPr>
        <sz val="9"/>
        <rFont val="Times New Roman"/>
        <family val="1"/>
      </rPr>
      <t xml:space="preserve">?  If no, explain. 
</t>
    </r>
  </si>
  <si>
    <t>OFFICE OF THE STATE INSPECTOR GENERAL</t>
  </si>
  <si>
    <t>SECRETARY OF VETERANS AND DEFENSE AFFAIRS</t>
  </si>
  <si>
    <t>VIRGINIA HEALTH WORKFORCE DEVELOPMENT AUTHORITY</t>
  </si>
  <si>
    <t>VIRGINIA FOUNDATION FOR HEALTHY YOUTH</t>
  </si>
  <si>
    <r>
      <t>Unamortized Bond Issuance Expense</t>
    </r>
    <r>
      <rPr>
        <sz val="9"/>
        <rFont val="Times New Roman"/>
        <family val="1"/>
      </rPr>
      <t>* See Note Below</t>
    </r>
  </si>
  <si>
    <t>Tab 8</t>
  </si>
  <si>
    <t>a)  Provide the amount in 4.2 above that is covered by federal depository insurance.  (Refer to the Appendix 1 of instructions</t>
  </si>
  <si>
    <t>Yes, No, or N/A</t>
  </si>
  <si>
    <t>13d</t>
  </si>
  <si>
    <t>13e</t>
  </si>
  <si>
    <t>13f</t>
  </si>
  <si>
    <t>13g</t>
  </si>
  <si>
    <t>13h</t>
  </si>
  <si>
    <t>13i</t>
  </si>
  <si>
    <t>13j</t>
  </si>
  <si>
    <t>13k</t>
  </si>
  <si>
    <t>13l</t>
  </si>
  <si>
    <t>15a</t>
  </si>
  <si>
    <t>15b</t>
  </si>
  <si>
    <t>16a</t>
  </si>
  <si>
    <t>16b</t>
  </si>
  <si>
    <r>
      <t xml:space="preserve">4) </t>
    </r>
    <r>
      <rPr>
        <b/>
        <sz val="9"/>
        <rFont val="Times New Roman"/>
        <family val="1"/>
      </rPr>
      <t xml:space="preserve">Mortgage Banking Activities </t>
    </r>
    <r>
      <rPr>
        <sz val="9"/>
        <rFont val="Times New Roman"/>
        <family val="1"/>
      </rPr>
      <t>- Loan origination fees, excluding portion for points, received by lender for loans held for investment (</t>
    </r>
    <r>
      <rPr>
        <b/>
        <u/>
        <sz val="9"/>
        <rFont val="Times New Roman"/>
        <family val="1"/>
      </rPr>
      <t>GASBS No. 65</t>
    </r>
    <r>
      <rPr>
        <sz val="9"/>
        <rFont val="Times New Roman"/>
        <family val="1"/>
      </rPr>
      <t xml:space="preserve"> paragraph 25 &amp; 26)</t>
    </r>
  </si>
  <si>
    <t>-Hedging derivative instrument - effective hedge (If yes, complete 12c - Parts 2 &amp; 3)</t>
  </si>
  <si>
    <t>Corporate Bonds and Notes</t>
  </si>
  <si>
    <r>
      <t>Answer the following parts.  (</t>
    </r>
    <r>
      <rPr>
        <b/>
        <u/>
        <sz val="9"/>
        <rFont val="Times New Roman"/>
        <family val="1"/>
      </rPr>
      <t>Note</t>
    </r>
    <r>
      <rPr>
        <sz val="9"/>
        <rFont val="Times New Roman"/>
        <family val="1"/>
      </rPr>
      <t>:  DOA may request additional information based on the answers provided.)</t>
    </r>
  </si>
  <si>
    <t>Credit risk</t>
  </si>
  <si>
    <t>Interest rate risk</t>
  </si>
  <si>
    <t>Basis risk</t>
  </si>
  <si>
    <t>Termination risk</t>
  </si>
  <si>
    <t>Rollover risk</t>
  </si>
  <si>
    <t>Market-access risk</t>
  </si>
  <si>
    <t>Foreign currency risk</t>
  </si>
  <si>
    <t>12g</t>
  </si>
  <si>
    <t>12h</t>
  </si>
  <si>
    <t>12i</t>
  </si>
  <si>
    <t>12j</t>
  </si>
  <si>
    <t>12k</t>
  </si>
  <si>
    <t>12l</t>
  </si>
  <si>
    <t>12m</t>
  </si>
  <si>
    <t>12n</t>
  </si>
  <si>
    <t>12o</t>
  </si>
  <si>
    <t>12p</t>
  </si>
  <si>
    <t>12q</t>
  </si>
  <si>
    <t>12r</t>
  </si>
  <si>
    <r>
      <t xml:space="preserve">Was effectiveness evaluated by a quantitative method not specifically identified in </t>
    </r>
    <r>
      <rPr>
        <b/>
        <u/>
        <sz val="9"/>
        <rFont val="Times New Roman"/>
        <family val="1"/>
      </rPr>
      <t>GASBS No. 53</t>
    </r>
    <r>
      <rPr>
        <sz val="9"/>
        <rFont val="Times New Roman"/>
        <family val="1"/>
      </rPr>
      <t xml:space="preserve">?  If yes, document below or in a separate document the disclosures required by </t>
    </r>
    <r>
      <rPr>
        <b/>
        <u/>
        <sz val="9"/>
        <rFont val="Times New Roman"/>
        <family val="1"/>
      </rPr>
      <t>GASBS No. 53</t>
    </r>
    <r>
      <rPr>
        <sz val="9"/>
        <rFont val="Times New Roman"/>
        <family val="1"/>
      </rPr>
      <t xml:space="preserve"> paragraph 75.</t>
    </r>
  </si>
  <si>
    <r>
      <rPr>
        <b/>
        <u/>
        <sz val="9"/>
        <rFont val="Times New Roman"/>
        <family val="1"/>
      </rPr>
      <t>GASBS No. 51</t>
    </r>
    <r>
      <rPr>
        <sz val="9"/>
        <rFont val="Times New Roman"/>
        <family val="1"/>
      </rPr>
      <t xml:space="preserve">, </t>
    </r>
    <r>
      <rPr>
        <i/>
        <sz val="9"/>
        <rFont val="Times New Roman"/>
        <family val="1"/>
      </rPr>
      <t>Accounting and Financial Reporting for Intangible Assets</t>
    </r>
  </si>
  <si>
    <r>
      <t xml:space="preserve">If </t>
    </r>
    <r>
      <rPr>
        <b/>
        <sz val="9"/>
        <rFont val="Times New Roman"/>
        <family val="1"/>
      </rPr>
      <t>yes</t>
    </r>
    <r>
      <rPr>
        <sz val="9"/>
        <rFont val="Times New Roman"/>
        <family val="1"/>
      </rPr>
      <t xml:space="preserve"> - Move on to the next part.</t>
    </r>
  </si>
  <si>
    <t>Amounts, Net of Allowance for Doubtful Accounts:</t>
  </si>
  <si>
    <t>Total Short-term Debt</t>
  </si>
  <si>
    <r>
      <rPr>
        <b/>
        <u/>
        <sz val="9"/>
        <rFont val="Times New Roman"/>
        <family val="1"/>
      </rPr>
      <t>GASBS No. 69</t>
    </r>
    <r>
      <rPr>
        <sz val="9"/>
        <rFont val="Times New Roman"/>
        <family val="1"/>
      </rPr>
      <t xml:space="preserve">, </t>
    </r>
    <r>
      <rPr>
        <i/>
        <sz val="9"/>
        <rFont val="Times New Roman"/>
        <family val="1"/>
      </rPr>
      <t>Government Combinations and Disposals of Government Operations</t>
    </r>
  </si>
  <si>
    <r>
      <t xml:space="preserve">11d)  </t>
    </r>
    <r>
      <rPr>
        <b/>
        <sz val="9"/>
        <rFont val="Times New Roman"/>
        <family val="1"/>
      </rPr>
      <t>Reporting</t>
    </r>
    <r>
      <rPr>
        <sz val="9"/>
        <rFont val="Times New Roman"/>
        <family val="1"/>
      </rPr>
      <t xml:space="preserve">:  Were intangible assets properly reported on the financial statement template in accordance with </t>
    </r>
    <r>
      <rPr>
        <b/>
        <u/>
        <sz val="9"/>
        <rFont val="Times New Roman"/>
        <family val="1"/>
      </rPr>
      <t>GASBS No. 51</t>
    </r>
    <r>
      <rPr>
        <sz val="9"/>
        <rFont val="Times New Roman"/>
        <family val="1"/>
      </rPr>
      <t xml:space="preserve">?  If </t>
    </r>
    <r>
      <rPr>
        <b/>
        <sz val="9"/>
        <rFont val="Times New Roman"/>
        <family val="1"/>
      </rPr>
      <t>no</t>
    </r>
    <r>
      <rPr>
        <sz val="9"/>
        <rFont val="Times New Roman"/>
        <family val="1"/>
      </rPr>
      <t>, explain.</t>
    </r>
  </si>
  <si>
    <r>
      <t xml:space="preserve">c.  For </t>
    </r>
    <r>
      <rPr>
        <b/>
        <sz val="10"/>
        <rFont val="Times New Roman"/>
        <family val="1"/>
      </rPr>
      <t>Unrestricted SNAP Individual Portfolio</t>
    </r>
    <r>
      <rPr>
        <sz val="10"/>
        <rFont val="Times New Roman"/>
        <family val="1"/>
      </rPr>
      <t>, provide the following:</t>
    </r>
  </si>
  <si>
    <r>
      <t>GASBS No. 63</t>
    </r>
    <r>
      <rPr>
        <b/>
        <sz val="9"/>
        <rFont val="Times New Roman"/>
        <family val="1"/>
      </rPr>
      <t xml:space="preserve">, </t>
    </r>
    <r>
      <rPr>
        <i/>
        <sz val="9"/>
        <rFont val="Times New Roman"/>
        <family val="1"/>
      </rPr>
      <t>Financial Reporting of Deferred Outflows of Resources, Deferred Inflows of Resources, and Net Position</t>
    </r>
  </si>
  <si>
    <t xml:space="preserve">Deferred Inflows of Resources
 (linked to template) </t>
  </si>
  <si>
    <r>
      <t xml:space="preserve">8) </t>
    </r>
    <r>
      <rPr>
        <b/>
        <sz val="9"/>
        <rFont val="Times New Roman"/>
        <family val="1"/>
      </rPr>
      <t xml:space="preserve">Mortgage Banking Activities </t>
    </r>
    <r>
      <rPr>
        <sz val="9"/>
        <rFont val="Times New Roman"/>
        <family val="1"/>
      </rPr>
      <t>- Fees paid to permanent investors prior to the sale of the loans 
(</t>
    </r>
    <r>
      <rPr>
        <b/>
        <u/>
        <sz val="9"/>
        <rFont val="Times New Roman"/>
        <family val="1"/>
      </rPr>
      <t>GASBS No. 65</t>
    </r>
    <r>
      <rPr>
        <sz val="9"/>
        <rFont val="Times New Roman"/>
        <family val="1"/>
      </rPr>
      <t xml:space="preserve"> paragraphs 25 &amp; 27)</t>
    </r>
  </si>
  <si>
    <t xml:space="preserve"> Cash Equivalents with the Treasurer of Virginia (exclude SNAP &amp; LGIP)</t>
  </si>
  <si>
    <t xml:space="preserve"> Cash Equivalents not with the Treasurer of Virginia (exclude SNAP)</t>
  </si>
  <si>
    <t xml:space="preserve"> Investments not with the Treasurer of Virginia (exclude SNAP)</t>
  </si>
  <si>
    <t>Restricted Cash Equivalents with the Treasurer of Virginia (exclude LGIP &amp; SNAP)</t>
  </si>
  <si>
    <t>Restricted Cash Equivalents not with the Treasurer of Virginia (exclude SNAP)</t>
  </si>
  <si>
    <t>Restricted Investments not with the Treasurer of Virginia (exclude SNAP)</t>
  </si>
  <si>
    <t>Sub Total Other</t>
  </si>
  <si>
    <t>1) Nature and source of pollution remediation obligations</t>
  </si>
  <si>
    <t>4) Estimated net pollution remediation liability amount - Recognized amount (2 less 3)</t>
  </si>
  <si>
    <t>11a</t>
  </si>
  <si>
    <t>11b</t>
  </si>
  <si>
    <t>11c</t>
  </si>
  <si>
    <t>11d</t>
  </si>
  <si>
    <r>
      <t xml:space="preserve">1) </t>
    </r>
    <r>
      <rPr>
        <b/>
        <sz val="9"/>
        <rFont val="Times New Roman"/>
        <family val="1"/>
      </rPr>
      <t xml:space="preserve">Hedging Derivative Instruments </t>
    </r>
    <r>
      <rPr>
        <sz val="9"/>
        <rFont val="Times New Roman"/>
        <family val="1"/>
      </rPr>
      <t>- Accumulated decrease in fair value of hedging derivative instruments 
(</t>
    </r>
    <r>
      <rPr>
        <b/>
        <u/>
        <sz val="9"/>
        <rFont val="Times New Roman"/>
        <family val="1"/>
      </rPr>
      <t>GASBS No. 53</t>
    </r>
    <r>
      <rPr>
        <sz val="9"/>
        <rFont val="Times New Roman"/>
        <family val="1"/>
      </rPr>
      <t xml:space="preserve">  paragraph 20)</t>
    </r>
  </si>
  <si>
    <r>
      <t xml:space="preserve">1)  </t>
    </r>
    <r>
      <rPr>
        <b/>
        <sz val="9"/>
        <rFont val="Times New Roman"/>
        <family val="1"/>
      </rPr>
      <t>Hedging Derivative Instruments</t>
    </r>
    <r>
      <rPr>
        <sz val="9"/>
        <rFont val="Times New Roman"/>
        <family val="1"/>
      </rPr>
      <t xml:space="preserve"> - Accumulated increase in fair value of hedging derivative instruments 
(</t>
    </r>
    <r>
      <rPr>
        <b/>
        <u/>
        <sz val="9"/>
        <rFont val="Times New Roman"/>
        <family val="1"/>
      </rPr>
      <t>GASBS No. 53</t>
    </r>
    <r>
      <rPr>
        <sz val="9"/>
        <rFont val="Times New Roman"/>
        <family val="1"/>
      </rPr>
      <t xml:space="preserve"> paragraph 20)</t>
    </r>
  </si>
  <si>
    <r>
      <t xml:space="preserve">Capitalization of Pollution Remediation Outlays: </t>
    </r>
    <r>
      <rPr>
        <sz val="9"/>
        <rFont val="Times New Roman"/>
        <family val="1"/>
      </rPr>
      <t xml:space="preserve">Do any of the estimated pollution remediation outlays meet the capitalization criteria for goods/services as defined below?  Pollution remediation outlays should be capitalized when goods or services are acquired and included in Tab 3-Capital Assets if acquired for any of the following:
• To prepare property in anticipation of a sale.  Certain limits apply as stated in paragraph 22 of </t>
    </r>
    <r>
      <rPr>
        <b/>
        <u/>
        <sz val="9"/>
        <rFont val="Times New Roman"/>
        <family val="1"/>
      </rPr>
      <t>GASBS No. 49</t>
    </r>
    <r>
      <rPr>
        <sz val="9"/>
        <rFont val="Times New Roman"/>
        <family val="1"/>
      </rPr>
      <t xml:space="preserve">
• To prepare property for use when the property was acquired with known or suspected pollution that was expected to be remediated
• To perform pollution remediation that restores a pollution-caused decline in service utility that was recognized as an asset impairment
• To acquire property, plant, and equipment that have a future alternative use
Do not record a pollution remediation liability for expected outlays that can be capitalized.  Capitalize actual amounts when goods/services are acquired .  </t>
    </r>
  </si>
  <si>
    <t>Certification</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</si>
  <si>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</si>
  <si>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t>Part 3) Other Insurance Recoveries</t>
  </si>
  <si>
    <r>
      <t xml:space="preserve">Did the entity recognize </t>
    </r>
    <r>
      <rPr>
        <b/>
        <sz val="8"/>
        <rFont val="Times New Roman"/>
        <family val="1"/>
      </rPr>
      <t>any</t>
    </r>
    <r>
      <rPr>
        <sz val="8"/>
        <rFont val="Times New Roman"/>
        <family val="1"/>
      </rPr>
      <t xml:space="preserve"> insurance recoveries during fiscal year 2013 not already reported in Part 1D?</t>
    </r>
  </si>
  <si>
    <t xml:space="preserve"> (i.e. capital asset impairments occurred in prior years and/or for other reasons such as theft, embezzlement of cash, etc.?)</t>
  </si>
  <si>
    <t>Financial Statement Template line item</t>
  </si>
  <si>
    <t>Other Insurance Recoveries $</t>
  </si>
  <si>
    <t>Program Revenue - Capital Grants and Contributions</t>
  </si>
  <si>
    <t>Provide a description of the insurance recoveries.</t>
  </si>
  <si>
    <r>
      <t xml:space="preserve">If </t>
    </r>
    <r>
      <rPr>
        <b/>
        <sz val="8"/>
        <rFont val="Times New Roman"/>
        <family val="1"/>
      </rPr>
      <t>yes</t>
    </r>
    <r>
      <rPr>
        <sz val="8"/>
        <rFont val="Times New Roman"/>
        <family val="1"/>
      </rPr>
      <t>, provide the carrying amount of capital assets that are idle at year-end.</t>
    </r>
  </si>
  <si>
    <r>
      <t xml:space="preserve">If </t>
    </r>
    <r>
      <rPr>
        <b/>
        <sz val="8"/>
        <rFont val="Times New Roman"/>
        <family val="1"/>
      </rPr>
      <t>yes</t>
    </r>
    <r>
      <rPr>
        <sz val="8"/>
        <rFont val="Times New Roman"/>
        <family val="1"/>
      </rPr>
      <t>, provide the line item and amount of the insurance recoveries.</t>
    </r>
  </si>
  <si>
    <r>
      <t xml:space="preserve">If </t>
    </r>
    <r>
      <rPr>
        <b/>
        <sz val="8"/>
        <rFont val="Times New Roman"/>
        <family val="1"/>
      </rPr>
      <t>no</t>
    </r>
    <r>
      <rPr>
        <sz val="8"/>
        <rFont val="Times New Roman"/>
        <family val="1"/>
      </rPr>
      <t xml:space="preserve">, provide explanation and then go to </t>
    </r>
    <r>
      <rPr>
        <b/>
        <sz val="8"/>
        <rFont val="Times New Roman"/>
        <family val="1"/>
      </rPr>
      <t>Part 2</t>
    </r>
    <r>
      <rPr>
        <sz val="8"/>
        <rFont val="Times New Roman"/>
        <family val="1"/>
      </rPr>
      <t xml:space="preserve">.  </t>
    </r>
  </si>
  <si>
    <r>
      <t xml:space="preserve">        If </t>
    </r>
    <r>
      <rPr>
        <b/>
        <sz val="8"/>
        <rFont val="Times New Roman"/>
        <family val="1"/>
      </rPr>
      <t>yes</t>
    </r>
    <r>
      <rPr>
        <sz val="8"/>
        <rFont val="Times New Roman"/>
        <family val="1"/>
      </rPr>
      <t xml:space="preserve">, go to D.  If </t>
    </r>
    <r>
      <rPr>
        <b/>
        <sz val="8"/>
        <rFont val="Times New Roman"/>
        <family val="1"/>
      </rPr>
      <t>no</t>
    </r>
    <r>
      <rPr>
        <sz val="8"/>
        <rFont val="Times New Roman"/>
        <family val="1"/>
      </rPr>
      <t xml:space="preserve">, go to </t>
    </r>
    <r>
      <rPr>
        <b/>
        <sz val="8"/>
        <rFont val="Times New Roman"/>
        <family val="1"/>
      </rPr>
      <t>Part 2</t>
    </r>
    <r>
      <rPr>
        <sz val="8"/>
        <rFont val="Times New Roman"/>
        <family val="1"/>
      </rPr>
      <t>.</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</si>
  <si>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</si>
  <si>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</si>
  <si>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t xml:space="preserve">If </t>
    </r>
    <r>
      <rPr>
        <b/>
        <sz val="9"/>
        <rFont val="Times New Roman"/>
        <family val="1"/>
      </rPr>
      <t>yes</t>
    </r>
    <r>
      <rPr>
        <sz val="9"/>
        <rFont val="Times New Roman"/>
        <family val="1"/>
      </rPr>
      <t xml:space="preserve"> - Provide disclosure information in accordance with </t>
    </r>
    <r>
      <rPr>
        <b/>
        <u/>
        <sz val="9"/>
        <rFont val="Times New Roman"/>
        <family val="1"/>
      </rPr>
      <t>GASBS No. 33</t>
    </r>
    <r>
      <rPr>
        <sz val="9"/>
        <rFont val="Times New Roman"/>
        <family val="1"/>
      </rPr>
      <t>, paragraph 11 in the yellow box below.</t>
    </r>
  </si>
  <si>
    <r>
      <t xml:space="preserve">If </t>
    </r>
    <r>
      <rPr>
        <b/>
        <sz val="9"/>
        <rFont val="Times New Roman"/>
        <family val="1"/>
      </rPr>
      <t>no</t>
    </r>
    <r>
      <rPr>
        <sz val="9"/>
        <rFont val="Times New Roman"/>
        <family val="1"/>
      </rPr>
      <t xml:space="preserve"> - Move on to Part 3.</t>
    </r>
  </si>
  <si>
    <r>
      <t xml:space="preserve">If </t>
    </r>
    <r>
      <rPr>
        <b/>
        <sz val="9"/>
        <rFont val="Times New Roman"/>
        <family val="1"/>
      </rPr>
      <t xml:space="preserve">no </t>
    </r>
    <r>
      <rPr>
        <sz val="9"/>
        <rFont val="Times New Roman"/>
        <family val="1"/>
      </rPr>
      <t>- Move on to Part 4.</t>
    </r>
  </si>
  <si>
    <r>
      <t xml:space="preserve">If </t>
    </r>
    <r>
      <rPr>
        <b/>
        <sz val="9"/>
        <rFont val="Times New Roman"/>
        <family val="1"/>
      </rPr>
      <t>no</t>
    </r>
    <r>
      <rPr>
        <sz val="9"/>
        <rFont val="Times New Roman"/>
        <family val="1"/>
      </rPr>
      <t xml:space="preserve"> - Move on to Part 5.</t>
    </r>
  </si>
  <si>
    <r>
      <t>Intra-Entity Sale of Receivables &amp; Future Revenues</t>
    </r>
    <r>
      <rPr>
        <sz val="9"/>
        <rFont val="Times New Roman"/>
        <family val="1"/>
      </rPr>
      <t xml:space="preserve">:  If </t>
    </r>
    <r>
      <rPr>
        <b/>
        <sz val="9"/>
        <rFont val="Times New Roman"/>
        <family val="1"/>
      </rPr>
      <t>yes</t>
    </r>
    <r>
      <rPr>
        <sz val="9"/>
        <rFont val="Times New Roman"/>
        <family val="1"/>
      </rPr>
      <t xml:space="preserve"> to 9c or 9d, do any of these transactions represent intra-entity sales (i.e. within the financial reporting entity - see </t>
    </r>
    <r>
      <rPr>
        <b/>
        <u/>
        <sz val="9"/>
        <rFont val="Times New Roman"/>
        <family val="1"/>
      </rPr>
      <t>Note A</t>
    </r>
    <r>
      <rPr>
        <sz val="9"/>
        <rFont val="Times New Roman"/>
        <family val="1"/>
      </rPr>
      <t xml:space="preserve">) as defined by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provide a description of these transactions and identify the intra-entity in the yellow box below.</t>
    </r>
  </si>
  <si>
    <r>
      <t>Change in fair values: Hedging derivative instrument - effective hedge</t>
    </r>
    <r>
      <rPr>
        <sz val="9"/>
        <rFont val="Times New Roman"/>
        <family val="1"/>
      </rPr>
      <t>: Report any "Deferred Outflows (</t>
    </r>
    <r>
      <rPr>
        <b/>
        <u/>
        <sz val="9"/>
        <rFont val="Times New Roman"/>
        <family val="1"/>
      </rPr>
      <t>GASBS No. 53</t>
    </r>
    <r>
      <rPr>
        <sz val="9"/>
        <rFont val="Times New Roman"/>
        <family val="1"/>
      </rPr>
      <t>)" on the Deferred Outflow line item and any "Deferred Inflows (</t>
    </r>
    <r>
      <rPr>
        <b/>
        <u/>
        <sz val="9"/>
        <rFont val="Times New Roman"/>
        <family val="1"/>
      </rPr>
      <t>GASBS No. 53</t>
    </r>
    <r>
      <rPr>
        <sz val="9"/>
        <rFont val="Times New Roman"/>
        <family val="1"/>
      </rPr>
      <t>)" on the Deferred Inflow line item to report the change in fair values for hedging derivative instruments - effective hedges.</t>
    </r>
  </si>
  <si>
    <t>14a</t>
  </si>
  <si>
    <t>14b</t>
  </si>
  <si>
    <t>14c</t>
  </si>
  <si>
    <t>14d</t>
  </si>
  <si>
    <t>14e</t>
  </si>
  <si>
    <t>14f</t>
  </si>
  <si>
    <t>14g</t>
  </si>
  <si>
    <t>14h</t>
  </si>
  <si>
    <t>14i</t>
  </si>
  <si>
    <t>14j</t>
  </si>
  <si>
    <t>I certify that the questions in this attachment have been completed and are reviewed.</t>
  </si>
  <si>
    <t>I certify that the questions in this attachment have been completed and are accurate.</t>
  </si>
  <si>
    <r>
      <t xml:space="preserve">If </t>
    </r>
    <r>
      <rPr>
        <b/>
        <sz val="9"/>
        <rFont val="Times New Roman"/>
        <family val="1"/>
      </rPr>
      <t>yes</t>
    </r>
    <r>
      <rPr>
        <sz val="9"/>
        <rFont val="Times New Roman"/>
        <family val="1"/>
      </rPr>
      <t xml:space="preserve"> - Provide liability amount as of June 30, a description of the termination benefits, number of employees affected, and period of time over which the benefits will be provided, cost of the termination benefits, and the significant methods and assumptions used to determine termination benefit liabilities.</t>
    </r>
  </si>
  <si>
    <t>16c</t>
  </si>
  <si>
    <t>17a</t>
  </si>
  <si>
    <t>17b</t>
  </si>
  <si>
    <r>
      <t xml:space="preserve">If </t>
    </r>
    <r>
      <rPr>
        <b/>
        <sz val="8"/>
        <rFont val="Times New Roman"/>
        <family val="1"/>
      </rPr>
      <t>yes</t>
    </r>
    <r>
      <rPr>
        <sz val="8"/>
        <rFont val="Times New Roman"/>
        <family val="1"/>
      </rPr>
      <t xml:space="preserve"> - Complete the schedule below.</t>
    </r>
  </si>
  <si>
    <t>Indonesian Rupiah</t>
  </si>
  <si>
    <t>Reference</t>
  </si>
  <si>
    <t>Is a Fluctuation Explanation Required?</t>
  </si>
  <si>
    <t>Due to External Parties (Fiduciary Funds)</t>
  </si>
  <si>
    <t>Total Due To External Parties (Fiduciary Funds)</t>
  </si>
  <si>
    <t>Unamortized Bond Issuance Expense (prepaid insurance costs)</t>
  </si>
  <si>
    <t>CHECK FIGURES</t>
  </si>
  <si>
    <r>
      <t>Transferee of Cash Flows from Receivables or Future Revenues</t>
    </r>
    <r>
      <rPr>
        <sz val="9"/>
        <rFont val="Times New Roman"/>
        <family val="1"/>
      </rPr>
      <t xml:space="preserve">:  Parts 9a to 9e are questions assuming the entity is the transferor.  Does the entity have any transactions in which the entity provided proceeds in exchange for being the transferee of cash flows from specific receivables or specific future revenues that were sold or pledged as defined by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xml:space="preserve">, provide a description of these transactions and identify the entity that received the proceeds.  In addition, state whether these were considered intra-entity transactions (see </t>
    </r>
    <r>
      <rPr>
        <b/>
        <u/>
        <sz val="9"/>
        <rFont val="Times New Roman"/>
        <family val="1"/>
      </rPr>
      <t>Note A</t>
    </r>
    <r>
      <rPr>
        <sz val="9"/>
        <rFont val="Times New Roman"/>
        <family val="1"/>
      </rPr>
      <t xml:space="preserve"> in Part 9e).</t>
    </r>
  </si>
  <si>
    <r>
      <t>Recognition Benchmarks:  Part 1)</t>
    </r>
    <r>
      <rPr>
        <sz val="9"/>
        <rFont val="Times New Roman"/>
        <family val="1"/>
      </rPr>
      <t xml:space="preserve"> Is the entity able to reasonably estimate a range of </t>
    </r>
    <r>
      <rPr>
        <b/>
        <sz val="9"/>
        <rFont val="Times New Roman"/>
        <family val="1"/>
      </rPr>
      <t>all</t>
    </r>
    <r>
      <rPr>
        <sz val="9"/>
        <rFont val="Times New Roman"/>
        <family val="1"/>
      </rPr>
      <t xml:space="preserve"> components of the pollution remediation liability because the site situation is common or is similar to other sites the entity has had experience?  If </t>
    </r>
    <r>
      <rPr>
        <b/>
        <sz val="9"/>
        <rFont val="Times New Roman"/>
        <family val="1"/>
      </rPr>
      <t>yes</t>
    </r>
    <r>
      <rPr>
        <sz val="9"/>
        <rFont val="Times New Roman"/>
        <family val="1"/>
      </rPr>
      <t xml:space="preserve">, go to part 10c.  If </t>
    </r>
    <r>
      <rPr>
        <b/>
        <sz val="9"/>
        <rFont val="Times New Roman"/>
        <family val="1"/>
      </rPr>
      <t>no</t>
    </r>
    <r>
      <rPr>
        <sz val="9"/>
        <rFont val="Times New Roman"/>
        <family val="1"/>
      </rPr>
      <t>, explain and go to 10b Part 2.</t>
    </r>
  </si>
  <si>
    <r>
      <t xml:space="preserve">Recognition Benchmarks: Part 2) </t>
    </r>
    <r>
      <rPr>
        <sz val="9"/>
        <rFont val="Times New Roman"/>
        <family val="1"/>
      </rPr>
      <t xml:space="preserve">For pollution remediation obligations that are for sites which are not common or similar to other sites the entity has had experience, has the entity estimated a range of certain components of the pollution remediation liability as the following benchmarks defined by </t>
    </r>
    <r>
      <rPr>
        <b/>
        <u/>
        <sz val="9"/>
        <rFont val="Times New Roman"/>
        <family val="1"/>
      </rPr>
      <t>GASBS No. 49</t>
    </r>
    <r>
      <rPr>
        <sz val="9"/>
        <rFont val="Times New Roman"/>
        <family val="1"/>
      </rPr>
      <t xml:space="preserve"> have occurred:  1) receipt of an administrative order, 2) participation, as a responsible party or a potentially responsible party, in the site assessment or investigation, 3) completion of a corrective measures feasibility study, 4) issuance of an authorization to proceed, and/or 5) remediation design and implementation, through and including operation and maintenance, and postremediation monitoring?</t>
    </r>
    <r>
      <rPr>
        <b/>
        <sz val="9"/>
        <rFont val="Times New Roman"/>
        <family val="1"/>
      </rPr>
      <t xml:space="preserve">  </t>
    </r>
    <r>
      <rPr>
        <sz val="9"/>
        <rFont val="Times New Roman"/>
        <family val="1"/>
      </rPr>
      <t xml:space="preserve">If </t>
    </r>
    <r>
      <rPr>
        <b/>
        <sz val="9"/>
        <rFont val="Times New Roman"/>
        <family val="1"/>
      </rPr>
      <t>yes</t>
    </r>
    <r>
      <rPr>
        <sz val="9"/>
        <rFont val="Times New Roman"/>
        <family val="1"/>
      </rPr>
      <t xml:space="preserve">, provide a description of the benchmarks that have occurred.  If </t>
    </r>
    <r>
      <rPr>
        <b/>
        <sz val="9"/>
        <rFont val="Times New Roman"/>
        <family val="1"/>
      </rPr>
      <t>no</t>
    </r>
    <r>
      <rPr>
        <sz val="9"/>
        <rFont val="Times New Roman"/>
        <family val="1"/>
      </rPr>
      <t>, explain.</t>
    </r>
  </si>
  <si>
    <t>Virginia Port Authority including Virginia International Terminals, LLC</t>
  </si>
  <si>
    <t>Does the entity have a deficit net position balance?</t>
  </si>
  <si>
    <r>
      <t xml:space="preserve">            for Certain Investments and for External Investment Pools, </t>
    </r>
    <r>
      <rPr>
        <sz val="10"/>
        <rFont val="Times New Roman"/>
        <family val="1"/>
      </rPr>
      <t>as amended by</t>
    </r>
    <r>
      <rPr>
        <i/>
        <sz val="10"/>
        <rFont val="Times New Roman"/>
        <family val="1"/>
      </rPr>
      <t xml:space="preserve"> </t>
    </r>
    <r>
      <rPr>
        <b/>
        <u/>
        <sz val="10"/>
        <rFont val="Times New Roman"/>
        <family val="1"/>
      </rPr>
      <t>GASBS No. 59</t>
    </r>
    <r>
      <rPr>
        <b/>
        <sz val="10"/>
        <rFont val="Times New Roman"/>
        <family val="1"/>
      </rPr>
      <t xml:space="preserve">, </t>
    </r>
    <r>
      <rPr>
        <i/>
        <sz val="10"/>
        <rFont val="Times New Roman"/>
        <family val="1"/>
      </rPr>
      <t xml:space="preserve">Financial Instruments Omnibus, </t>
    </r>
    <r>
      <rPr>
        <sz val="10"/>
        <rFont val="Times New Roman"/>
        <family val="1"/>
      </rPr>
      <t/>
    </r>
  </si>
  <si>
    <t>1h)</t>
  </si>
  <si>
    <t>Note C</t>
  </si>
  <si>
    <t>-Investment derivative instrument - a)  held primarily for the purpose of income or profit, and b) has a present service capacity based solely on its ability to generate cash or to be sold to generate cash.</t>
  </si>
  <si>
    <r>
      <t xml:space="preserve">1) </t>
    </r>
    <r>
      <rPr>
        <b/>
        <sz val="9"/>
        <rFont val="Times New Roman"/>
        <family val="1"/>
      </rPr>
      <t>Government mergers</t>
    </r>
    <r>
      <rPr>
        <sz val="9"/>
        <rFont val="Times New Roman"/>
        <family val="1"/>
      </rPr>
      <t xml:space="preserve"> - Two or more separate legal entities combine to form a new entity or are absorbed into one or more continuing governments in which no significant consideration is exchanged (</t>
    </r>
    <r>
      <rPr>
        <b/>
        <u/>
        <sz val="9"/>
        <rFont val="Times New Roman"/>
        <family val="1"/>
      </rPr>
      <t>GASBS No. 69</t>
    </r>
    <r>
      <rPr>
        <b/>
        <sz val="9"/>
        <rFont val="Times New Roman"/>
        <family val="1"/>
      </rPr>
      <t>,</t>
    </r>
    <r>
      <rPr>
        <sz val="9"/>
        <rFont val="Times New Roman"/>
        <family val="1"/>
      </rPr>
      <t xml:space="preserve"> paragraphs 9, 10, 13-28)</t>
    </r>
  </si>
  <si>
    <r>
      <t>2)</t>
    </r>
    <r>
      <rPr>
        <b/>
        <sz val="9"/>
        <rFont val="Times New Roman"/>
        <family val="1"/>
      </rPr>
      <t xml:space="preserve"> Government acquisitions</t>
    </r>
    <r>
      <rPr>
        <sz val="9"/>
        <rFont val="Times New Roman"/>
        <family val="1"/>
      </rPr>
      <t xml:space="preserve"> - One government acquires another entity (or its operations) in exchange for significant consideration and the acquired entity or operations become part of the acquiring government's legally separate entity (</t>
    </r>
    <r>
      <rPr>
        <b/>
        <u/>
        <sz val="9"/>
        <rFont val="Times New Roman"/>
        <family val="1"/>
      </rPr>
      <t>GASBS No. 69</t>
    </r>
    <r>
      <rPr>
        <b/>
        <sz val="9"/>
        <rFont val="Times New Roman"/>
        <family val="1"/>
      </rPr>
      <t>,</t>
    </r>
    <r>
      <rPr>
        <sz val="9"/>
        <rFont val="Times New Roman"/>
        <family val="1"/>
      </rPr>
      <t xml:space="preserve"> paragraphs 9, 11, 29-45, 51-54)</t>
    </r>
  </si>
  <si>
    <r>
      <t>3)</t>
    </r>
    <r>
      <rPr>
        <b/>
        <sz val="9"/>
        <rFont val="Times New Roman"/>
        <family val="1"/>
      </rPr>
      <t xml:space="preserve"> Transfers of operations</t>
    </r>
    <r>
      <rPr>
        <sz val="9"/>
        <rFont val="Times New Roman"/>
        <family val="1"/>
      </rPr>
      <t xml:space="preserve"> - A government combination involving operations of an entity rather than a combination of legally separate entities, which could be a transfer to an existing entity or creation of a new entity in which no significant consideration is exchanged (</t>
    </r>
    <r>
      <rPr>
        <b/>
        <u/>
        <sz val="9"/>
        <rFont val="Times New Roman"/>
        <family val="1"/>
      </rPr>
      <t>GASBS No. 69</t>
    </r>
    <r>
      <rPr>
        <b/>
        <sz val="9"/>
        <rFont val="Times New Roman"/>
        <family val="1"/>
      </rPr>
      <t>,</t>
    </r>
    <r>
      <rPr>
        <sz val="9"/>
        <rFont val="Times New Roman"/>
        <family val="1"/>
      </rPr>
      <t xml:space="preserve"> paragraphs 9, 12, 46-54)</t>
    </r>
  </si>
  <si>
    <r>
      <t>4)</t>
    </r>
    <r>
      <rPr>
        <b/>
        <sz val="9"/>
        <rFont val="Times New Roman"/>
        <family val="1"/>
      </rPr>
      <t xml:space="preserve"> Disposals of government operations - </t>
    </r>
    <r>
      <rPr>
        <sz val="9"/>
        <rFont val="Times New Roman"/>
        <family val="1"/>
      </rPr>
      <t xml:space="preserve">Government disposed of operations by either a sale or transfer of operations as described in parts 2 and/or 3 above. </t>
    </r>
    <r>
      <rPr>
        <b/>
        <sz val="9"/>
        <rFont val="Times New Roman"/>
        <family val="1"/>
      </rPr>
      <t>(</t>
    </r>
    <r>
      <rPr>
        <b/>
        <u/>
        <sz val="9"/>
        <rFont val="Times New Roman"/>
        <family val="1"/>
      </rPr>
      <t>GASBS No. 69</t>
    </r>
    <r>
      <rPr>
        <b/>
        <sz val="9"/>
        <rFont val="Times New Roman"/>
        <family val="1"/>
      </rPr>
      <t xml:space="preserve">, </t>
    </r>
    <r>
      <rPr>
        <sz val="9"/>
        <rFont val="Times New Roman"/>
        <family val="1"/>
      </rPr>
      <t>paragraphs 51-54</t>
    </r>
    <r>
      <rPr>
        <b/>
        <sz val="9"/>
        <rFont val="Times New Roman"/>
        <family val="1"/>
      </rPr>
      <t>)</t>
    </r>
  </si>
  <si>
    <r>
      <rPr>
        <b/>
        <u/>
        <sz val="9"/>
        <rFont val="Times New Roman"/>
        <family val="1"/>
      </rPr>
      <t>GASBS No. 70</t>
    </r>
    <r>
      <rPr>
        <sz val="9"/>
        <rFont val="Times New Roman"/>
        <family val="1"/>
      </rPr>
      <t xml:space="preserve"> defines a nonexchange financial guarantee as a guarantee of an obligation of a legally separate entity or individual  which requires the guarantor to indemnify a third-party obligation holder under certain conditions.  In addition, the guarantor receives little or no compensation in return for providing the nonexchange financial guarantee.  A legally separate entity includes blended or discretely presented component units of the government as well as other governments and nongovernmental entities (i.e., not-for profit organizations, private entities, etc.).  For example, a state government may guarantee the debt service payments on bonds of local school districts without receiving compensation from the local school districts.  If a local school district becomes unable to make payments on the debt, the state would make the payment.  A government (guarantor)  may extend a nonexchange financial guarantee for the financial obligations of a legally separate entity or individual.  A government may also receive a nonexchange financial guarantee for the government's financial obligations from a legally separate entity or individual (guarantor).  
This Statement provides reporting guidance for governments that have extended or received nonexchange financial guarantees.  This Statement does not apply to guarantees related to special assessment debt addressed in </t>
    </r>
    <r>
      <rPr>
        <b/>
        <u/>
        <sz val="9"/>
        <rFont val="Times New Roman"/>
        <family val="1"/>
      </rPr>
      <t>GASBS No. 6</t>
    </r>
    <r>
      <rPr>
        <sz val="9"/>
        <rFont val="Times New Roman"/>
        <family val="1"/>
      </rPr>
      <t xml:space="preserve">, </t>
    </r>
    <r>
      <rPr>
        <i/>
        <sz val="9"/>
        <rFont val="Times New Roman"/>
        <family val="1"/>
      </rPr>
      <t>Accounting and Financial Reporting for Special Assessments</t>
    </r>
    <r>
      <rPr>
        <sz val="9"/>
        <rFont val="Times New Roman"/>
        <family val="1"/>
      </rPr>
      <t>.
(</t>
    </r>
    <r>
      <rPr>
        <b/>
        <u/>
        <sz val="9"/>
        <rFont val="Times New Roman"/>
        <family val="1"/>
      </rPr>
      <t>Note</t>
    </r>
    <r>
      <rPr>
        <sz val="9"/>
        <rFont val="Times New Roman"/>
        <family val="1"/>
      </rPr>
      <t>: DOA may request additional information in a separate communication.)</t>
    </r>
  </si>
  <si>
    <r>
      <t xml:space="preserve">b)  </t>
    </r>
    <r>
      <rPr>
        <b/>
        <sz val="9"/>
        <rFont val="Times New Roman"/>
        <family val="1"/>
      </rPr>
      <t>Nonexchange Financial Guarantees -  Others guarantee obligations of the entity</t>
    </r>
    <r>
      <rPr>
        <sz val="9"/>
        <rFont val="Times New Roman"/>
        <family val="1"/>
      </rPr>
      <t xml:space="preserve">:  Did the entity receive a nonexchange financial guarantee for the obligation(s) of the entity (issuer) from a legally separate entity* or individual (guarantor) without giving equal or approximately equal value in exchange?   </t>
    </r>
    <r>
      <rPr>
        <b/>
        <sz val="9"/>
        <rFont val="Times New Roman"/>
        <family val="1"/>
      </rPr>
      <t xml:space="preserve">
</t>
    </r>
    <r>
      <rPr>
        <sz val="9"/>
        <rFont val="Times New Roman"/>
        <family val="1"/>
      </rPr>
      <t xml:space="preserve">
(</t>
    </r>
    <r>
      <rPr>
        <b/>
        <u/>
        <sz val="9"/>
        <rFont val="Times New Roman"/>
        <family val="1"/>
      </rPr>
      <t>Note</t>
    </r>
    <r>
      <rPr>
        <b/>
        <sz val="9"/>
        <rFont val="Times New Roman"/>
        <family val="1"/>
      </rPr>
      <t xml:space="preserve">: </t>
    </r>
    <r>
      <rPr>
        <sz val="9"/>
        <rFont val="Times New Roman"/>
        <family val="1"/>
      </rPr>
      <t xml:space="preserve">A legally separate entity includes other governments and nongovernmental entities (i.e., not-for profit organizations, private entities, etc.), and blended or discretely presented component units of the entity.)
</t>
    </r>
  </si>
  <si>
    <r>
      <t xml:space="preserve">a)  </t>
    </r>
    <r>
      <rPr>
        <b/>
        <sz val="9"/>
        <rFont val="Times New Roman"/>
        <family val="1"/>
      </rPr>
      <t>Nonexchange Financial Guarantees - Entity guarantees obligations of others</t>
    </r>
    <r>
      <rPr>
        <sz val="9"/>
        <rFont val="Times New Roman"/>
        <family val="1"/>
      </rPr>
      <t xml:space="preserve">:  Does the entity (guarantor) extend a nonexchange financial guarantee for the obligations of a legally separate entity* or individual (issuers) without receiving equal or approximately equal value in exchange?   </t>
    </r>
    <r>
      <rPr>
        <b/>
        <sz val="9"/>
        <rFont val="Times New Roman"/>
        <family val="1"/>
      </rPr>
      <t xml:space="preserve">
</t>
    </r>
    <r>
      <rPr>
        <sz val="9"/>
        <rFont val="Times New Roman"/>
        <family val="1"/>
      </rPr>
      <t xml:space="preserve">
(</t>
    </r>
    <r>
      <rPr>
        <b/>
        <u/>
        <sz val="9"/>
        <rFont val="Times New Roman"/>
        <family val="1"/>
      </rPr>
      <t>Note</t>
    </r>
    <r>
      <rPr>
        <b/>
        <sz val="9"/>
        <rFont val="Times New Roman"/>
        <family val="1"/>
      </rPr>
      <t xml:space="preserve">: </t>
    </r>
    <r>
      <rPr>
        <sz val="9"/>
        <rFont val="Times New Roman"/>
        <family val="1"/>
      </rPr>
      <t xml:space="preserve">A legally separate entity includes other governments and nongovernmental entities (i.e., not-for profit organizations, private entities, etc.) and blended or discretely presented component units of the entity.)     
</t>
    </r>
  </si>
  <si>
    <r>
      <rPr>
        <b/>
        <u/>
        <sz val="9"/>
        <rFont val="Times New Roman"/>
        <family val="1"/>
      </rPr>
      <t>GASBS No. 65</t>
    </r>
    <r>
      <rPr>
        <sz val="9"/>
        <rFont val="Times New Roman"/>
        <family val="1"/>
      </rPr>
      <t xml:space="preserve"> requires certain assets and liabilities to be reported on one of the following applicable line items:
-  deferred outflows of resources (see part 15a)
-  deferred inflows of resources (see part 15b)
-  expenses or expenditures (see part 16a)
-  revenues (see part 16b)
Question 15 includes questions regarding the reporting of deferred outflows of resources and deferred inflows of resources per </t>
    </r>
    <r>
      <rPr>
        <b/>
        <u/>
        <sz val="9"/>
        <rFont val="Times New Roman"/>
        <family val="1"/>
      </rPr>
      <t>GASBS No. 65</t>
    </r>
    <r>
      <rPr>
        <sz val="9"/>
        <rFont val="Times New Roman"/>
        <family val="1"/>
      </rPr>
      <t xml:space="preserve">.  
Question 16 has questions regarding the reporting of expenses or revenues in accordance with </t>
    </r>
    <r>
      <rPr>
        <b/>
        <u/>
        <sz val="9"/>
        <rFont val="Times New Roman"/>
        <family val="1"/>
      </rPr>
      <t>GASBS No. 65</t>
    </r>
    <r>
      <rPr>
        <sz val="9"/>
        <rFont val="Times New Roman"/>
        <family val="1"/>
      </rPr>
      <t xml:space="preserve">.    
</t>
    </r>
    <r>
      <rPr>
        <b/>
        <u/>
        <sz val="9"/>
        <rFont val="Times New Roman"/>
        <family val="1"/>
      </rPr>
      <t>Note</t>
    </r>
    <r>
      <rPr>
        <sz val="9"/>
        <rFont val="Times New Roman"/>
        <family val="1"/>
      </rPr>
      <t xml:space="preserve">: DOA may request additional information in a separate communication.  </t>
    </r>
  </si>
  <si>
    <r>
      <t>Note A</t>
    </r>
    <r>
      <rPr>
        <b/>
        <sz val="10"/>
        <rFont val="Times New Roman"/>
        <family val="1"/>
      </rPr>
      <t>:</t>
    </r>
    <r>
      <rPr>
        <sz val="10"/>
        <rFont val="Times New Roman"/>
        <family val="1"/>
      </rPr>
      <t xml:space="preserve">   </t>
    </r>
    <r>
      <rPr>
        <b/>
        <u/>
        <sz val="10"/>
        <rFont val="Times New Roman"/>
        <family val="1"/>
      </rPr>
      <t>GASBS No. 31</t>
    </r>
    <r>
      <rPr>
        <sz val="10"/>
        <rFont val="Times New Roman"/>
        <family val="1"/>
      </rPr>
      <t xml:space="preserve">, paragraphs 9, states that these types of investments (Parts 1b and 1c) </t>
    </r>
    <r>
      <rPr>
        <b/>
        <sz val="10"/>
        <rFont val="Times New Roman"/>
        <family val="1"/>
      </rPr>
      <t>may</t>
    </r>
    <r>
      <rPr>
        <sz val="10"/>
        <rFont val="Times New Roman"/>
        <family val="1"/>
      </rPr>
      <t xml:space="preserve"> be </t>
    </r>
  </si>
  <si>
    <t>and reports all investments at amortized cost, the pool's participants must also measure their investment in the external</t>
  </si>
  <si>
    <r>
      <t>Part 2)  For any "</t>
    </r>
    <r>
      <rPr>
        <b/>
        <sz val="10"/>
        <rFont val="Times New Roman"/>
        <family val="1"/>
      </rPr>
      <t>no</t>
    </r>
    <r>
      <rPr>
        <sz val="10"/>
        <rFont val="Times New Roman"/>
        <family val="1"/>
      </rPr>
      <t>" answers provided in Parts 1b to 1f, are amounts reported at fair value rather than amortized cost?</t>
    </r>
  </si>
  <si>
    <r>
      <t>Change in fair values: Investment derivative instrument - ineffective hedge &amp; investment derivative instrument - entered into primarily to obtain income or profit</t>
    </r>
    <r>
      <rPr>
        <sz val="9"/>
        <rFont val="Times New Roman"/>
        <family val="1"/>
      </rPr>
      <t>: Report the changes in fair values of these types of derivative instruments on the "Investment Earnings" FST line item.
(</t>
    </r>
    <r>
      <rPr>
        <b/>
        <u/>
        <sz val="9"/>
        <rFont val="Times New Roman"/>
        <family val="1"/>
      </rPr>
      <t>Note</t>
    </r>
    <r>
      <rPr>
        <b/>
        <sz val="9"/>
        <rFont val="Times New Roman"/>
        <family val="1"/>
      </rPr>
      <t xml:space="preserve">: </t>
    </r>
    <r>
      <rPr>
        <sz val="9"/>
        <rFont val="Times New Roman"/>
        <family val="1"/>
      </rPr>
      <t xml:space="preserve"> DOA may request additional information based on the answers provided.)  </t>
    </r>
  </si>
  <si>
    <r>
      <t xml:space="preserve">9) </t>
    </r>
    <r>
      <rPr>
        <b/>
        <sz val="9"/>
        <color theme="1"/>
        <rFont val="Times New Roman"/>
        <family val="1"/>
      </rPr>
      <t>Pension-Related</t>
    </r>
    <r>
      <rPr>
        <sz val="9"/>
        <color theme="1"/>
        <rFont val="Times New Roman"/>
        <family val="1"/>
      </rPr>
      <t xml:space="preserve"> - VRS defined benefit pension plans (</t>
    </r>
    <r>
      <rPr>
        <b/>
        <u/>
        <sz val="9"/>
        <color theme="1"/>
        <rFont val="Times New Roman"/>
        <family val="1"/>
      </rPr>
      <t>GASBS No. 68</t>
    </r>
    <r>
      <rPr>
        <b/>
        <sz val="9"/>
        <color theme="1"/>
        <rFont val="Times New Roman"/>
        <family val="1"/>
      </rPr>
      <t xml:space="preserve">, </t>
    </r>
    <r>
      <rPr>
        <sz val="9"/>
        <color theme="1"/>
        <rFont val="Times New Roman"/>
        <family val="1"/>
      </rPr>
      <t>as amended by</t>
    </r>
    <r>
      <rPr>
        <b/>
        <u/>
        <sz val="9"/>
        <color theme="1"/>
        <rFont val="Times New Roman"/>
        <family val="1"/>
      </rPr>
      <t xml:space="preserve"> GASBS No 73</t>
    </r>
    <r>
      <rPr>
        <b/>
        <sz val="9"/>
        <color theme="1"/>
        <rFont val="Times New Roman"/>
        <family val="1"/>
      </rPr>
      <t xml:space="preserve"> </t>
    </r>
    <r>
      <rPr>
        <sz val="9"/>
        <color theme="1"/>
        <rFont val="Times New Roman"/>
        <family val="1"/>
      </rPr>
      <t>)</t>
    </r>
  </si>
  <si>
    <r>
      <t xml:space="preserve">10) </t>
    </r>
    <r>
      <rPr>
        <b/>
        <sz val="9"/>
        <color theme="1"/>
        <rFont val="Times New Roman"/>
        <family val="1"/>
      </rPr>
      <t>Pension-Related</t>
    </r>
    <r>
      <rPr>
        <sz val="9"/>
        <color theme="1"/>
        <rFont val="Times New Roman"/>
        <family val="1"/>
      </rPr>
      <t xml:space="preserve"> - Other defined benefit pension plans (not with VRS) (</t>
    </r>
    <r>
      <rPr>
        <b/>
        <u/>
        <sz val="9"/>
        <color theme="1"/>
        <rFont val="Times New Roman"/>
        <family val="1"/>
      </rPr>
      <t>GASBS No. 68</t>
    </r>
    <r>
      <rPr>
        <sz val="9"/>
        <color theme="1"/>
        <rFont val="Times New Roman"/>
        <family val="1"/>
      </rPr>
      <t xml:space="preserve">, as amended by </t>
    </r>
    <r>
      <rPr>
        <b/>
        <u/>
        <sz val="9"/>
        <color theme="1"/>
        <rFont val="Times New Roman"/>
        <family val="1"/>
      </rPr>
      <t>GASBS No. 73</t>
    </r>
    <r>
      <rPr>
        <sz val="9"/>
        <color theme="1"/>
        <rFont val="Times New Roman"/>
        <family val="1"/>
      </rPr>
      <t>)</t>
    </r>
  </si>
  <si>
    <t>Quoted Prices in Active Markets for Identical Assets (Level 1)</t>
  </si>
  <si>
    <t>Significant Other Observable Inputs  (Level 2)</t>
  </si>
  <si>
    <t>Significant Unobservable Inputs (Level 3)</t>
  </si>
  <si>
    <t>General description and valuation technique used for items reported at fair value</t>
  </si>
  <si>
    <t xml:space="preserve">      Cash Equivalents not held with the Treasurer of VA</t>
  </si>
  <si>
    <t xml:space="preserve">       Investments not held with the Treasurer of VA</t>
  </si>
  <si>
    <t xml:space="preserve">                Total Nonnegotiable Certificates of Deposit (not held with the Treasurer of VA)</t>
  </si>
  <si>
    <t>a)  Reported amount included in:</t>
  </si>
  <si>
    <t>Significant other observable inputs
(Level 2)</t>
  </si>
  <si>
    <t>Significant unobservable inputs
(Level 3)</t>
  </si>
  <si>
    <t>Total fair value amount</t>
  </si>
  <si>
    <r>
      <t xml:space="preserve">If </t>
    </r>
    <r>
      <rPr>
        <b/>
        <sz val="10"/>
        <rFont val="Times New Roman"/>
        <family val="1"/>
      </rPr>
      <t>yes</t>
    </r>
    <r>
      <rPr>
        <sz val="10"/>
        <rFont val="Times New Roman"/>
        <family val="1"/>
      </rPr>
      <t>, then further explain below, including fair value and specific terms of the investments.</t>
    </r>
  </si>
  <si>
    <t>Investment Type</t>
  </si>
  <si>
    <t>Fair Value at June 30</t>
  </si>
  <si>
    <t>External Parties (Fiduciary Funds) Name
Amount is Due To</t>
  </si>
  <si>
    <t>7a</t>
  </si>
  <si>
    <t>7b</t>
  </si>
  <si>
    <r>
      <t xml:space="preserve">If </t>
    </r>
    <r>
      <rPr>
        <b/>
        <sz val="9"/>
        <rFont val="Times New Roman"/>
        <family val="1"/>
      </rPr>
      <t>no</t>
    </r>
    <r>
      <rPr>
        <sz val="9"/>
        <rFont val="Times New Roman"/>
        <family val="1"/>
      </rPr>
      <t xml:space="preserve"> - Move on to Part 7b.</t>
    </r>
  </si>
  <si>
    <t>Virginia Biotechnology Research Partnership Authority including Virginia Biotechnology Research Park Corporation</t>
  </si>
  <si>
    <t>Bonds Payable (Part 2) (Note A)</t>
  </si>
  <si>
    <r>
      <t>Note B</t>
    </r>
    <r>
      <rPr>
        <b/>
        <sz val="10"/>
        <rFont val="Times New Roman"/>
        <family val="1"/>
      </rPr>
      <t>:</t>
    </r>
    <r>
      <rPr>
        <sz val="10"/>
        <rFont val="Times New Roman"/>
        <family val="1"/>
      </rPr>
      <t xml:space="preserve">   </t>
    </r>
    <r>
      <rPr>
        <b/>
        <u/>
        <sz val="10"/>
        <rFont val="Times New Roman"/>
        <family val="1"/>
      </rPr>
      <t>GASBS No. 79</t>
    </r>
    <r>
      <rPr>
        <sz val="10"/>
        <rFont val="Times New Roman"/>
        <family val="1"/>
      </rPr>
      <t xml:space="preserve"> amended paragraph 5 of </t>
    </r>
    <r>
      <rPr>
        <b/>
        <u/>
        <sz val="10"/>
        <rFont val="Times New Roman"/>
        <family val="1"/>
      </rPr>
      <t>GASBS No. 59</t>
    </r>
    <r>
      <rPr>
        <sz val="10"/>
        <rFont val="Times New Roman"/>
        <family val="1"/>
      </rPr>
      <t xml:space="preserve"> and </t>
    </r>
    <r>
      <rPr>
        <b/>
        <u/>
        <sz val="10"/>
        <rFont val="Times New Roman"/>
        <family val="1"/>
      </rPr>
      <t>GASBS No. 79</t>
    </r>
    <r>
      <rPr>
        <sz val="10"/>
        <rFont val="Times New Roman"/>
        <family val="1"/>
      </rPr>
      <t xml:space="preserve"> lists the necessary criteria in paragraph 4 </t>
    </r>
  </si>
  <si>
    <t>DEPARTMENT OF ELECTIONS</t>
  </si>
  <si>
    <t>VIRGINIA LOTTERY</t>
  </si>
  <si>
    <t>WILSON WORKFORCE AND REHABILITATION CENTER</t>
  </si>
  <si>
    <t>TOBACCO REGION REVITALIZATION COMMISSION</t>
  </si>
  <si>
    <t>Differences (provide explanations below)</t>
  </si>
  <si>
    <r>
      <t>Sale of Receivables</t>
    </r>
    <r>
      <rPr>
        <sz val="9"/>
        <rFont val="Times New Roman"/>
        <family val="1"/>
      </rPr>
      <t xml:space="preserve">:  Does the entity have any transactions in which the entity receives, or is entitled to, proceeds in exchange for future cash flows from specific receivables that meet the definition of a sale in accordance with </t>
    </r>
    <r>
      <rPr>
        <b/>
        <u/>
        <sz val="9"/>
        <rFont val="Times New Roman"/>
        <family val="1"/>
      </rPr>
      <t>GASBS No. 48</t>
    </r>
    <r>
      <rPr>
        <sz val="9"/>
        <rFont val="Times New Roman"/>
        <family val="1"/>
      </rPr>
      <t xml:space="preserve">?  If </t>
    </r>
    <r>
      <rPr>
        <b/>
        <sz val="9"/>
        <rFont val="Times New Roman"/>
        <family val="1"/>
      </rPr>
      <t>yes</t>
    </r>
    <r>
      <rPr>
        <sz val="9"/>
        <rFont val="Times New Roman"/>
        <family val="1"/>
      </rPr>
      <t>, provide a description of these transactions in the yellow box below.</t>
    </r>
  </si>
  <si>
    <r>
      <t xml:space="preserve">GASBS  No. 53, </t>
    </r>
    <r>
      <rPr>
        <i/>
        <sz val="9"/>
        <rFont val="Times New Roman"/>
        <family val="1"/>
      </rPr>
      <t xml:space="preserve">Accounting and Financial Reporting for Derivative Instruments </t>
    </r>
  </si>
  <si>
    <r>
      <rPr>
        <b/>
        <u/>
        <sz val="9"/>
        <color theme="1"/>
        <rFont val="Times New Roman"/>
        <family val="1"/>
      </rPr>
      <t>GASBS No. 69</t>
    </r>
    <r>
      <rPr>
        <b/>
        <sz val="9"/>
        <color theme="1"/>
        <rFont val="Times New Roman"/>
        <family val="1"/>
      </rPr>
      <t xml:space="preserve"> </t>
    </r>
    <r>
      <rPr>
        <sz val="9"/>
        <color theme="1"/>
        <rFont val="Times New Roman"/>
        <family val="1"/>
      </rPr>
      <t xml:space="preserve">provides guidance of accounting and financial reporting for government combinations and disposals of government operations.  Government combinations are arrangements that meet the definition of a government merger, government acquisition, or transfer of operations. </t>
    </r>
    <r>
      <rPr>
        <u/>
        <sz val="9"/>
        <color theme="1"/>
        <rFont val="Times New Roman"/>
        <family val="1"/>
      </rPr>
      <t xml:space="preserve">
</t>
    </r>
    <r>
      <rPr>
        <sz val="9"/>
        <color theme="1"/>
        <rFont val="Times New Roman"/>
        <family val="1"/>
      </rPr>
      <t xml:space="preserve">This statement amends </t>
    </r>
    <r>
      <rPr>
        <b/>
        <u/>
        <sz val="9"/>
        <rFont val="Times New Roman"/>
        <family val="1"/>
      </rPr>
      <t>GASBS No. 51</t>
    </r>
    <r>
      <rPr>
        <b/>
        <sz val="9"/>
        <rFont val="Times New Roman"/>
        <family val="1"/>
      </rPr>
      <t>,</t>
    </r>
    <r>
      <rPr>
        <sz val="9"/>
        <rFont val="Times New Roman"/>
        <family val="1"/>
      </rPr>
      <t xml:space="preserve"> </t>
    </r>
    <r>
      <rPr>
        <i/>
        <sz val="9"/>
        <rFont val="Times New Roman"/>
        <family val="1"/>
      </rPr>
      <t>Accounting and Financial Reporting for Intangible Assets</t>
    </r>
    <r>
      <rPr>
        <sz val="9"/>
        <rFont val="Times New Roman"/>
        <family val="1"/>
      </rPr>
      <t xml:space="preserve">, paragraph 3, and </t>
    </r>
    <r>
      <rPr>
        <b/>
        <u/>
        <sz val="9"/>
        <rFont val="Times New Roman"/>
        <family val="1"/>
      </rPr>
      <t>GASBS No. 62</t>
    </r>
    <r>
      <rPr>
        <sz val="9"/>
        <rFont val="Times New Roman"/>
        <family val="1"/>
      </rPr>
      <t xml:space="preserve">, </t>
    </r>
    <r>
      <rPr>
        <i/>
        <sz val="9"/>
        <rFont val="Times New Roman"/>
        <family val="1"/>
      </rPr>
      <t>Codification of Accounting and Financial Reporting Guidance Contained in Pre-November 30, 1989 FASB and AICPA Pronouncements</t>
    </r>
    <r>
      <rPr>
        <sz val="9"/>
        <rFont val="Times New Roman"/>
        <family val="1"/>
      </rPr>
      <t xml:space="preserve">, as amended, paragraph 209.
This statement does not apply to combinations in which a government acquires another organization that continues to exist as a separate entity and the acquisition of equity interests in organizations that remain legally separate from the acquiring government addressed in </t>
    </r>
    <r>
      <rPr>
        <b/>
        <u/>
        <sz val="9"/>
        <rFont val="Times New Roman"/>
        <family val="1"/>
      </rPr>
      <t>GASBS No. 14,</t>
    </r>
    <r>
      <rPr>
        <sz val="9"/>
        <rFont val="Times New Roman"/>
        <family val="1"/>
      </rPr>
      <t xml:space="preserve"> </t>
    </r>
    <r>
      <rPr>
        <i/>
        <sz val="9"/>
        <rFont val="Times New Roman"/>
        <family val="1"/>
      </rPr>
      <t>The Financial Reporting Entity</t>
    </r>
    <r>
      <rPr>
        <sz val="9"/>
        <rFont val="Times New Roman"/>
        <family val="1"/>
      </rPr>
      <t xml:space="preserve">.
</t>
    </r>
    <r>
      <rPr>
        <b/>
        <u/>
        <sz val="9"/>
        <rFont val="Times New Roman"/>
        <family val="1"/>
      </rPr>
      <t>Note</t>
    </r>
    <r>
      <rPr>
        <b/>
        <sz val="9"/>
        <rFont val="Times New Roman"/>
        <family val="1"/>
      </rPr>
      <t>:</t>
    </r>
    <r>
      <rPr>
        <sz val="9"/>
        <rFont val="Times New Roman"/>
        <family val="1"/>
      </rPr>
      <t xml:space="preserve">  In addition to responding to the questions below, the preparer and reviewer should read  </t>
    </r>
    <r>
      <rPr>
        <b/>
        <u/>
        <sz val="9"/>
        <rFont val="Times New Roman"/>
        <family val="1"/>
      </rPr>
      <t>GASBS No. 69</t>
    </r>
    <r>
      <rPr>
        <sz val="9"/>
        <rFont val="Times New Roman"/>
        <family val="1"/>
      </rPr>
      <t xml:space="preserve"> and determine whether there are reporting implications that are not addressed by the following questions.  If so, please contact DOA.  DOA may request in a separate communication additional information.</t>
    </r>
  </si>
  <si>
    <t>COMMISSION ON THE VIRGINIA ALCOHOL SAFETY ACTION PROGRAM</t>
  </si>
  <si>
    <t>Tab 4a</t>
  </si>
  <si>
    <t>Total cash held by the Treasurer of Virginia (must agree to Cardinal Account 101010)</t>
  </si>
  <si>
    <r>
      <rPr>
        <b/>
        <u/>
        <sz val="10"/>
        <rFont val="Times New Roman"/>
        <family val="1"/>
      </rPr>
      <t>Unrestricted</t>
    </r>
    <r>
      <rPr>
        <sz val="10"/>
        <rFont val="Times New Roman"/>
        <family val="1"/>
      </rPr>
      <t xml:space="preserve"> Cash not held by the Treasurer of Virginia (DO NOT include </t>
    </r>
    <r>
      <rPr>
        <b/>
        <sz val="10"/>
        <rFont val="Times New Roman"/>
        <family val="1"/>
      </rPr>
      <t>restricted</t>
    </r>
    <r>
      <rPr>
        <sz val="10"/>
        <rFont val="Times New Roman"/>
        <family val="1"/>
      </rPr>
      <t xml:space="preserve"> cash):</t>
    </r>
  </si>
  <si>
    <r>
      <rPr>
        <b/>
        <u/>
        <sz val="10"/>
        <rFont val="Times New Roman"/>
        <family val="1"/>
      </rPr>
      <t>Restricted</t>
    </r>
    <r>
      <rPr>
        <sz val="10"/>
        <rFont val="Times New Roman"/>
        <family val="1"/>
      </rPr>
      <t xml:space="preserve"> Cash not held by the Treasurer of Virginia:</t>
    </r>
  </si>
  <si>
    <t>a)  Cash Equivalents and Investments Not held with the Treasurer of VA and SNAP Individual Portfolio (excluding Nonnegotiable Certificates of Deposit) :</t>
  </si>
  <si>
    <r>
      <t xml:space="preserve">    If </t>
    </r>
    <r>
      <rPr>
        <b/>
        <sz val="10"/>
        <rFont val="Times New Roman"/>
        <family val="1"/>
      </rPr>
      <t>yes</t>
    </r>
    <r>
      <rPr>
        <sz val="10"/>
        <rFont val="Times New Roman"/>
        <family val="1"/>
      </rPr>
      <t>, then specify below, including investment type category and amount.</t>
    </r>
  </si>
  <si>
    <t xml:space="preserve">                                              This amount MUST also agree to the total reported amount in the tab entitled "Tab 1B-Cash Eq. &amp; Inv. NOT w Tr"</t>
  </si>
  <si>
    <r>
      <t xml:space="preserve">b)  Investment Derivative Instruments: Are any investment derivative instruments, as defined in </t>
    </r>
    <r>
      <rPr>
        <b/>
        <u/>
        <sz val="10"/>
        <rFont val="Times New Roman"/>
        <family val="1"/>
      </rPr>
      <t>GASBS No. 53</t>
    </r>
    <r>
      <rPr>
        <sz val="10"/>
        <rFont val="Times New Roman"/>
        <family val="1"/>
      </rPr>
      <t>, included in the "Total</t>
    </r>
  </si>
  <si>
    <t>Supranational and Non-U.S. Government Bonds and Notes</t>
  </si>
  <si>
    <t>Agency Mortgage Backed Securities</t>
  </si>
  <si>
    <t>#</t>
  </si>
  <si>
    <r>
      <rPr>
        <b/>
        <sz val="10"/>
        <rFont val="Times New Roman"/>
        <family val="1"/>
      </rPr>
      <t>For Pool Participants</t>
    </r>
    <r>
      <rPr>
        <sz val="10"/>
        <rFont val="Times New Roman"/>
        <family val="1"/>
      </rPr>
      <t xml:space="preserve">: Investments in External Investment Pools that meet </t>
    </r>
    <r>
      <rPr>
        <b/>
        <u/>
        <sz val="10"/>
        <rFont val="Times New Roman"/>
        <family val="1"/>
      </rPr>
      <t>GASBS No. 79</t>
    </r>
    <r>
      <rPr>
        <sz val="10"/>
        <rFont val="Times New Roman"/>
        <family val="1"/>
      </rPr>
      <t xml:space="preserve"> requirements to report all investments at amortized cost</t>
    </r>
  </si>
  <si>
    <r>
      <rPr>
        <b/>
        <sz val="10"/>
        <rFont val="Times New Roman"/>
        <family val="1"/>
      </rPr>
      <t>For Pools</t>
    </r>
    <r>
      <rPr>
        <sz val="10"/>
        <rFont val="Times New Roman"/>
        <family val="1"/>
      </rPr>
      <t>: External Investment Pools' Short-term debt investments with remaining maturities up to 90 days</t>
    </r>
  </si>
  <si>
    <t>1i)</t>
  </si>
  <si>
    <t>1j)</t>
  </si>
  <si>
    <t>Fully benefit-responsive synthetic guaranteed investment contracts</t>
  </si>
  <si>
    <r>
      <t xml:space="preserve">Contract value in accordance with </t>
    </r>
    <r>
      <rPr>
        <b/>
        <u/>
        <sz val="10"/>
        <rFont val="Times New Roman"/>
        <family val="1"/>
      </rPr>
      <t>GASBS No. 53</t>
    </r>
  </si>
  <si>
    <t>Investments in life insurance contracts</t>
  </si>
  <si>
    <t>Cash surrender value</t>
  </si>
  <si>
    <t>Note D</t>
  </si>
  <si>
    <t>Note D1</t>
  </si>
  <si>
    <t>Investments in certain entities that calculate the Net Asset Value per Share (or its equivalent)</t>
  </si>
  <si>
    <r>
      <t xml:space="preserve">Fair value established using Net Asset Value Per Share (or its equivalent) in accordance with </t>
    </r>
    <r>
      <rPr>
        <b/>
        <u/>
        <sz val="10"/>
        <rFont val="Times New Roman"/>
        <family val="1"/>
      </rPr>
      <t>GASBS No. 72</t>
    </r>
  </si>
  <si>
    <r>
      <t xml:space="preserve">paragraphs 71 to 74 and require additional disclosures in accordance with </t>
    </r>
    <r>
      <rPr>
        <b/>
        <u/>
        <sz val="10"/>
        <rFont val="Times New Roman"/>
        <family val="1"/>
      </rPr>
      <t>GASBS No. 72</t>
    </r>
    <r>
      <rPr>
        <sz val="10"/>
        <rFont val="Times New Roman"/>
        <family val="1"/>
      </rPr>
      <t xml:space="preserve"> paragraph 82. These items should be </t>
    </r>
  </si>
  <si>
    <r>
      <t xml:space="preserve">being reported on the Tab 1B-Cash Eq. &amp; Inv. Not w Tr for fair value measurement purposes in accordance with </t>
    </r>
    <r>
      <rPr>
        <b/>
        <u/>
        <sz val="10"/>
        <rFont val="Times New Roman"/>
        <family val="1"/>
      </rPr>
      <t>GASBS No. 72</t>
    </r>
    <r>
      <rPr>
        <sz val="10"/>
        <rFont val="Times New Roman"/>
        <family val="1"/>
      </rPr>
      <t>.</t>
    </r>
  </si>
  <si>
    <r>
      <t>Note</t>
    </r>
    <r>
      <rPr>
        <b/>
        <sz val="10"/>
        <rFont val="Times New Roman"/>
        <family val="1"/>
      </rPr>
      <t>:</t>
    </r>
    <r>
      <rPr>
        <sz val="10"/>
        <rFont val="Times New Roman"/>
        <family val="1"/>
      </rPr>
      <t xml:space="preserve">   For the accurate reporting of all the applicable cash equivalents and investments in Part 1 above, consider how they are </t>
    </r>
  </si>
  <si>
    <r>
      <rPr>
        <b/>
        <sz val="10"/>
        <rFont val="Times New Roman"/>
        <family val="1"/>
      </rPr>
      <t>For Pools</t>
    </r>
    <r>
      <rPr>
        <sz val="10"/>
        <rFont val="Times New Roman"/>
        <family val="1"/>
      </rPr>
      <t>: External Investment Pools that meet</t>
    </r>
    <r>
      <rPr>
        <b/>
        <u/>
        <sz val="10"/>
        <rFont val="Times New Roman"/>
        <family val="1"/>
      </rPr>
      <t xml:space="preserve"> GASBS No. 79</t>
    </r>
    <r>
      <rPr>
        <sz val="10"/>
        <rFont val="Times New Roman"/>
        <family val="1"/>
      </rPr>
      <t xml:space="preserve"> requirements to report all investments at amortized cost</t>
    </r>
  </si>
  <si>
    <r>
      <t xml:space="preserve">for an external investment pool to measure for financial reporting purposes at amortized cost. It also amended </t>
    </r>
    <r>
      <rPr>
        <b/>
        <u/>
        <sz val="10"/>
        <rFont val="Times New Roman"/>
        <family val="1"/>
      </rPr>
      <t>GASBS No. 31</t>
    </r>
  </si>
  <si>
    <t xml:space="preserve">paragraphs 11 and 16. In addition, if the external investment pool meets the criteria to report all investments at amortized cost </t>
  </si>
  <si>
    <r>
      <t xml:space="preserve">investment pool at amortized cost. An example of an external investment pool that is managed in accordance with </t>
    </r>
    <r>
      <rPr>
        <b/>
        <u/>
        <sz val="10"/>
        <rFont val="Times New Roman"/>
        <family val="1"/>
      </rPr>
      <t>GASBS No. 79</t>
    </r>
  </si>
  <si>
    <r>
      <rPr>
        <b/>
        <u/>
        <sz val="10"/>
        <rFont val="Times New Roman"/>
        <family val="1"/>
      </rPr>
      <t>Note D</t>
    </r>
    <r>
      <rPr>
        <b/>
        <sz val="10"/>
        <rFont val="Times New Roman"/>
        <family val="1"/>
      </rPr>
      <t xml:space="preserve">:   </t>
    </r>
    <r>
      <rPr>
        <sz val="10"/>
        <rFont val="Times New Roman"/>
        <family val="1"/>
      </rPr>
      <t xml:space="preserve">These are items that are permitted to be reported at net asset value (or its equivalent) in accordance with </t>
    </r>
    <r>
      <rPr>
        <b/>
        <u/>
        <sz val="10"/>
        <rFont val="Times New Roman"/>
        <family val="1"/>
      </rPr>
      <t>GASBS No. 72</t>
    </r>
  </si>
  <si>
    <r>
      <t xml:space="preserve">If </t>
    </r>
    <r>
      <rPr>
        <b/>
        <sz val="9"/>
        <rFont val="Times New Roman"/>
        <family val="1"/>
      </rPr>
      <t>no</t>
    </r>
    <r>
      <rPr>
        <sz val="9"/>
        <rFont val="Times New Roman"/>
        <family val="1"/>
      </rPr>
      <t>, then provide the reason(s) for the nonrecurring fair value measurements below.</t>
    </r>
  </si>
  <si>
    <t>Total Fair Value
$ Amount</t>
  </si>
  <si>
    <r>
      <t xml:space="preserve">If </t>
    </r>
    <r>
      <rPr>
        <b/>
        <sz val="9"/>
        <rFont val="Times New Roman"/>
        <family val="1"/>
      </rPr>
      <t>yes</t>
    </r>
    <r>
      <rPr>
        <sz val="9"/>
        <rFont val="Times New Roman"/>
        <family val="1"/>
      </rPr>
      <t>, then provide the change and reason(s) for making the change below.</t>
    </r>
  </si>
  <si>
    <t>General description of items reported at NAV per share (or its equivalent)</t>
  </si>
  <si>
    <t>Total fair value amount using NAV per share (or its equivalent)</t>
  </si>
  <si>
    <t>If there is a difference, provide an explanation for the difference. Specify the other financial statement line items that include amounts reported using the fair value hierarchy and the fair value level used to report those amounts, if any.</t>
  </si>
  <si>
    <t>Total fair value amount per Tab 1B - Cash Eq. &amp; Inv. Not W Tr (Linked to Tab 1B-Cash Eq. &amp; Inv. Not W Tr, sum of Level 1, Level 2, and Level 3)</t>
  </si>
  <si>
    <t>Total fair value amount using NAV per share per Tab 1B-Cash Eq. &amp; Inv. Not w Tr (Linked to Tab 1B-Cash Eq. &amp; Inv. Not w Tr)</t>
  </si>
  <si>
    <t>If there is a difference, provide an explanation for the difference. Specify the other financial statement line items that include amounts reported at NAV per share (or its equivalent), if any.</t>
  </si>
  <si>
    <t>Tab 1A, Parts 7a &amp; 10c</t>
  </si>
  <si>
    <t xml:space="preserve"> Cash held with the Treasurer of Virginia (Account 101010)</t>
  </si>
  <si>
    <t>Restricted Cash held with the Treasurer of Virginia (Account 101010)</t>
  </si>
  <si>
    <t>b) Are Nonnegotiable CDs Not held with the Treasurer of Virginia properly reported on the Component Unit Template tab on an applicable "cash equivalents",</t>
  </si>
  <si>
    <t>Briefly explain entity's investment policy related to foreign deposit or investment below. If the entity does have investments denominated in a foreign currency and DOES NOT have an investment policy, please provide an explanation below. This may be provided in a separate document accompanying this attachment.</t>
  </si>
  <si>
    <r>
      <t xml:space="preserve">Part 1)  Derivative Instruments as of June 30, 2017 &amp; existed as of June 30, 2016 </t>
    </r>
    <r>
      <rPr>
        <sz val="9"/>
        <rFont val="Times New Roman"/>
        <family val="1"/>
      </rPr>
      <t xml:space="preserve">- Did any of the derivative instruments that existed as of June 30, 2017 also exist as of June 30, 2016?  If </t>
    </r>
    <r>
      <rPr>
        <b/>
        <sz val="9"/>
        <rFont val="Times New Roman"/>
        <family val="1"/>
      </rPr>
      <t>yes</t>
    </r>
    <r>
      <rPr>
        <sz val="9"/>
        <rFont val="Times New Roman"/>
        <family val="1"/>
      </rPr>
      <t>, indicate which derivative instrument also existed as of June 30, 2016.</t>
    </r>
  </si>
  <si>
    <r>
      <t xml:space="preserve">Part 2)  If </t>
    </r>
    <r>
      <rPr>
        <b/>
        <sz val="9"/>
        <rFont val="Times New Roman"/>
        <family val="1"/>
      </rPr>
      <t>yes</t>
    </r>
    <r>
      <rPr>
        <sz val="9"/>
        <rFont val="Times New Roman"/>
        <family val="1"/>
      </rPr>
      <t xml:space="preserve"> to 12b - Part 1, was any investment derivative instrument - ineffective hedge as of June 30, 2017, considered a hedging derivative instrument - effective hedge as of June 30, 2016 (i.e. became an ineffective hedge as of June 30, 2017)?  If </t>
    </r>
    <r>
      <rPr>
        <b/>
        <sz val="9"/>
        <rFont val="Times New Roman"/>
        <family val="1"/>
      </rPr>
      <t>no</t>
    </r>
    <r>
      <rPr>
        <sz val="9"/>
        <rFont val="Times New Roman"/>
        <family val="1"/>
      </rPr>
      <t>, skip to 12c.</t>
    </r>
  </si>
  <si>
    <r>
      <t xml:space="preserve">Part 3) If </t>
    </r>
    <r>
      <rPr>
        <b/>
        <sz val="9"/>
        <rFont val="Times New Roman"/>
        <family val="1"/>
      </rPr>
      <t>yes</t>
    </r>
    <r>
      <rPr>
        <sz val="9"/>
        <rFont val="Times New Roman"/>
        <family val="1"/>
      </rPr>
      <t xml:space="preserve"> to 12b - Part 2, was the deferral amount reported within the Investment Earnings FST line item upon reclassification for FY 2017 (ineffective hedge - FYE 6/30/2017 &amp; effective hedge - FYE 6/30/2016)?  If </t>
    </r>
    <r>
      <rPr>
        <b/>
        <sz val="9"/>
        <rFont val="Times New Roman"/>
        <family val="1"/>
      </rPr>
      <t>yes</t>
    </r>
    <r>
      <rPr>
        <sz val="9"/>
        <rFont val="Times New Roman"/>
        <family val="1"/>
      </rPr>
      <t xml:space="preserve">, provide the deferral amount reported within the Investment Earnings FST line item upon reclassification for FY 2017.  If </t>
    </r>
    <r>
      <rPr>
        <b/>
        <sz val="9"/>
        <rFont val="Times New Roman"/>
        <family val="1"/>
      </rPr>
      <t>no</t>
    </r>
    <r>
      <rPr>
        <sz val="9"/>
        <rFont val="Times New Roman"/>
        <family val="1"/>
      </rPr>
      <t>, explain.</t>
    </r>
  </si>
  <si>
    <r>
      <t xml:space="preserve">Part 1) </t>
    </r>
    <r>
      <rPr>
        <b/>
        <sz val="9"/>
        <rFont val="Times New Roman"/>
        <family val="1"/>
      </rPr>
      <t xml:space="preserve"> Derivative Instruments as of June 30, 2016, that ended or terminated during FY 2017</t>
    </r>
    <r>
      <rPr>
        <sz val="9"/>
        <rFont val="Times New Roman"/>
        <family val="1"/>
      </rPr>
      <t xml:space="preserve"> - Did the entity have any derivative instruments as of June 30, 2016, as defined in </t>
    </r>
    <r>
      <rPr>
        <b/>
        <u/>
        <sz val="9"/>
        <rFont val="Times New Roman"/>
        <family val="1"/>
      </rPr>
      <t>GASBS No. 53</t>
    </r>
    <r>
      <rPr>
        <sz val="9"/>
        <rFont val="Times New Roman"/>
        <family val="1"/>
      </rPr>
      <t xml:space="preserve"> that did not exist as of June 30, 2017?  If yes, indicate the overall derivative instrument category and provide the type (i.e. interest rate swap, interest rate lock, etc.) and notional amount in the space provided.  If </t>
    </r>
    <r>
      <rPr>
        <b/>
        <sz val="9"/>
        <rFont val="Times New Roman"/>
        <family val="1"/>
      </rPr>
      <t>no</t>
    </r>
    <r>
      <rPr>
        <sz val="9"/>
        <rFont val="Times New Roman"/>
        <family val="1"/>
      </rPr>
      <t>, skip to 12d.</t>
    </r>
  </si>
  <si>
    <r>
      <t>Part 2)  Hedging Derivative Instrument (effective hedge) - existed as of 6/30/2016 and terminated/ended during FY 2017</t>
    </r>
    <r>
      <rPr>
        <sz val="9"/>
        <rFont val="Times New Roman"/>
        <family val="1"/>
      </rPr>
      <t xml:space="preserve"> -  If the entity had a hedging derivative instrument-effective hedge that existed as of June 30, 2016, and it did not exist as of June 30, 2017 (i.e. terminated or ended during fiscal year 2017), provide the following information:</t>
    </r>
  </si>
  <si>
    <t>Provide the termination event and/or reason the hedging derivative instrument was terminated/ended during FY 2017</t>
  </si>
  <si>
    <r>
      <t xml:space="preserve">Derivative Instruments - activity only during FY 2017 - </t>
    </r>
    <r>
      <rPr>
        <sz val="9"/>
        <rFont val="Times New Roman"/>
        <family val="1"/>
      </rPr>
      <t>Did the entity have any other derivative instrument activity during fiscal year 2017 that is not already described in the previous parts?  If yes, provide a description of the derivative instrument activity during the year not already mentioned in the previous parts.</t>
    </r>
  </si>
  <si>
    <r>
      <t>Evaluation of Effectiveness - potential hedging derivative instruments as of June 30, 2017</t>
    </r>
    <r>
      <rPr>
        <sz val="9"/>
        <rFont val="Times New Roman"/>
        <family val="1"/>
      </rPr>
      <t xml:space="preserve"> - If applicable, were potential hedging derivative instruments that existed as of June 30, 2017, evaluated for effectiveness in accordance with </t>
    </r>
    <r>
      <rPr>
        <b/>
        <u/>
        <sz val="9"/>
        <rFont val="Times New Roman"/>
        <family val="1"/>
      </rPr>
      <t>GASBS No. 53</t>
    </r>
    <r>
      <rPr>
        <sz val="9"/>
        <rFont val="Times New Roman"/>
        <family val="1"/>
      </rPr>
      <t xml:space="preserve">.  If </t>
    </r>
    <r>
      <rPr>
        <b/>
        <sz val="9"/>
        <rFont val="Times New Roman"/>
        <family val="1"/>
      </rPr>
      <t>no</t>
    </r>
    <r>
      <rPr>
        <sz val="9"/>
        <rFont val="Times New Roman"/>
        <family val="1"/>
      </rPr>
      <t>, explain.</t>
    </r>
  </si>
  <si>
    <r>
      <t>Note:</t>
    </r>
    <r>
      <rPr>
        <sz val="9"/>
        <rFont val="Times New Roman"/>
        <family val="1"/>
      </rPr>
      <t xml:space="preserve">  If a potential hedging derivative instrument existed as of June 30, 2017, and also as of June 30, 2016, it must be evaluated for effectiveness as of June 30, 2017.  If it is determined to be an effective hedge as of June 30, 2017, it is considered an effective hedge as of June 30, 2016, also and does have to be evaluated for effectiveness as of June 30, 2016.  However, if it is determined to be an ineffective hedge as of June 30, 2017, it must be evaluated for effectiveness as of June 30, 2016.  In addition, potential hedging derivative instruments that existed as of June 30, 2015, and were terminated/ended during FY 2017, must be evaluated to determine effectiveness as of June 30, 2016.</t>
    </r>
  </si>
  <si>
    <r>
      <rPr>
        <b/>
        <sz val="9"/>
        <rFont val="Times New Roman"/>
        <family val="1"/>
      </rPr>
      <t>Reporting</t>
    </r>
    <r>
      <rPr>
        <sz val="9"/>
        <rFont val="Times New Roman"/>
        <family val="1"/>
      </rPr>
      <t xml:space="preserve"> - Were all entity derivative instrument activity/balances during FY 2017 and as of June 30, 2017, properly reported on the financial statement template in accordance with </t>
    </r>
    <r>
      <rPr>
        <b/>
        <u/>
        <sz val="9"/>
        <rFont val="Times New Roman"/>
        <family val="1"/>
      </rPr>
      <t>GASBS No. 53</t>
    </r>
    <r>
      <rPr>
        <sz val="9"/>
        <rFont val="Times New Roman"/>
        <family val="1"/>
      </rPr>
      <t xml:space="preserve">?  If </t>
    </r>
    <r>
      <rPr>
        <b/>
        <sz val="9"/>
        <rFont val="Times New Roman"/>
        <family val="1"/>
      </rPr>
      <t>no</t>
    </r>
    <r>
      <rPr>
        <sz val="9"/>
        <rFont val="Times New Roman"/>
        <family val="1"/>
      </rPr>
      <t>, explain.</t>
    </r>
  </si>
  <si>
    <r>
      <t xml:space="preserve">For the hedging derivative instruments that are reported as of June 30, 2017, is the entity exposed to the following risks that could give rise to financial loss?  If </t>
    </r>
    <r>
      <rPr>
        <b/>
        <sz val="9"/>
        <rFont val="Times New Roman"/>
        <family val="1"/>
      </rPr>
      <t>yes</t>
    </r>
    <r>
      <rPr>
        <sz val="9"/>
        <rFont val="Times New Roman"/>
        <family val="1"/>
      </rPr>
      <t xml:space="preserve">, provide </t>
    </r>
    <r>
      <rPr>
        <b/>
        <u/>
        <sz val="9"/>
        <rFont val="Times New Roman"/>
        <family val="1"/>
      </rPr>
      <t>GASBS No. 53</t>
    </r>
    <r>
      <rPr>
        <sz val="9"/>
        <rFont val="Times New Roman"/>
        <family val="1"/>
      </rPr>
      <t xml:space="preserve"> disclosures below or in a separate document.</t>
    </r>
  </si>
  <si>
    <r>
      <t xml:space="preserve">Investment Derivative Instruments (ineffective hedge or instruments entered into for profit or income) - For investment derivative instruments that existed as of June 30, 2017, is the entity exposed to the following risks that could give rise to financial loss?  If </t>
    </r>
    <r>
      <rPr>
        <b/>
        <sz val="9"/>
        <rFont val="Times New Roman"/>
        <family val="1"/>
      </rPr>
      <t>yes</t>
    </r>
    <r>
      <rPr>
        <sz val="9"/>
        <rFont val="Times New Roman"/>
        <family val="1"/>
      </rPr>
      <t xml:space="preserve">, provide </t>
    </r>
    <r>
      <rPr>
        <b/>
        <u/>
        <sz val="9"/>
        <rFont val="Times New Roman"/>
        <family val="1"/>
      </rPr>
      <t>GASBS No. 53</t>
    </r>
    <r>
      <rPr>
        <sz val="9"/>
        <rFont val="Times New Roman"/>
        <family val="1"/>
      </rPr>
      <t xml:space="preserve"> disclosures below or in a separate document.</t>
    </r>
  </si>
  <si>
    <r>
      <t xml:space="preserve">11c)  </t>
    </r>
    <r>
      <rPr>
        <b/>
        <sz val="9"/>
        <rFont val="Times New Roman"/>
        <family val="1"/>
      </rPr>
      <t>Internally Generated Intangible Assets as of June 30, 2017</t>
    </r>
    <r>
      <rPr>
        <sz val="9"/>
        <rFont val="Times New Roman"/>
        <family val="1"/>
      </rPr>
      <t xml:space="preserve">:  As of June 30, 2017, does the entity have outlays for internally generated intangible assets as defined in </t>
    </r>
    <r>
      <rPr>
        <b/>
        <u/>
        <sz val="9"/>
        <rFont val="Times New Roman"/>
        <family val="1"/>
      </rPr>
      <t>GASBS No. 51</t>
    </r>
    <r>
      <rPr>
        <sz val="9"/>
        <rFont val="Times New Roman"/>
        <family val="1"/>
      </rPr>
      <t xml:space="preserve"> that are not yet substantially complete and operational (i.e. application development stage for internally generated computer software)?  If </t>
    </r>
    <r>
      <rPr>
        <b/>
        <sz val="9"/>
        <rFont val="Times New Roman"/>
        <family val="1"/>
      </rPr>
      <t>yes</t>
    </r>
    <r>
      <rPr>
        <sz val="9"/>
        <rFont val="Times New Roman"/>
        <family val="1"/>
      </rPr>
      <t>, indicate below if these outlays are reported on the FST as Construction-in-Progress and provide the amount.</t>
    </r>
  </si>
  <si>
    <t>Due from Primary Government (include description)</t>
  </si>
  <si>
    <t>Due from Component Units (include description)</t>
  </si>
  <si>
    <t>Due to Component Units (include description)</t>
  </si>
  <si>
    <t>Other - Due Within One Year (include description)</t>
  </si>
  <si>
    <t>Primary Government Agency Name
Amount is Due From</t>
  </si>
  <si>
    <t>Primary Government Agency Name
Amount is Due To</t>
  </si>
  <si>
    <t>Virginia Retirement System</t>
  </si>
  <si>
    <r>
      <t>If</t>
    </r>
    <r>
      <rPr>
        <b/>
        <sz val="9"/>
        <rFont val="Times New Roman"/>
        <family val="1"/>
      </rPr>
      <t xml:space="preserve"> yes </t>
    </r>
    <r>
      <rPr>
        <sz val="9"/>
        <rFont val="Times New Roman"/>
        <family val="1"/>
      </rPr>
      <t>to 17a</t>
    </r>
    <r>
      <rPr>
        <sz val="9"/>
        <rFont val="Times New Roman"/>
        <family val="1"/>
      </rPr>
      <t>, provide a description of the government combination, list the entities involved, primary reasons for the combination, and date of the combination.  Also indicate if the entity was the disposing government or acquiring government in the government combination.  DOA may request in a separate communication additional information.</t>
    </r>
  </si>
  <si>
    <t>Explanation</t>
  </si>
  <si>
    <t>Does the amount reported agree to the entity's SNAP statements?</t>
  </si>
  <si>
    <r>
      <rPr>
        <b/>
        <sz val="10"/>
        <rFont val="Times New Roman"/>
        <family val="1"/>
      </rPr>
      <t>Reporting</t>
    </r>
    <r>
      <rPr>
        <sz val="10"/>
        <rFont val="Times New Roman"/>
        <family val="1"/>
      </rPr>
      <t>:  Do you certify that all items were properly reported in accordance with all applicable financial reporting standards?</t>
    </r>
  </si>
  <si>
    <r>
      <t xml:space="preserve">    on Tab 1B plus Nonnegotiable Certificates of Deposit reported as cash equivalents in Part 2.1a and Part 4.1a? If </t>
    </r>
    <r>
      <rPr>
        <b/>
        <sz val="10"/>
        <rFont val="Times New Roman"/>
        <family val="1"/>
      </rPr>
      <t>yes</t>
    </r>
    <r>
      <rPr>
        <sz val="10"/>
        <rFont val="Times New Roman"/>
        <family val="1"/>
      </rPr>
      <t xml:space="preserve">, please provide explanation.  </t>
    </r>
  </si>
  <si>
    <r>
      <rPr>
        <sz val="9"/>
        <rFont val="Times New Roman"/>
        <family val="1"/>
      </rPr>
      <t xml:space="preserve">The purpose of </t>
    </r>
    <r>
      <rPr>
        <b/>
        <u/>
        <sz val="9"/>
        <rFont val="Times New Roman"/>
        <family val="1"/>
      </rPr>
      <t>GASBS No. 53</t>
    </r>
    <r>
      <rPr>
        <sz val="9"/>
        <rFont val="Times New Roman"/>
        <family val="1"/>
      </rPr>
      <t xml:space="preserve"> is to provide financial reporting standards for derivative instruments. </t>
    </r>
    <r>
      <rPr>
        <b/>
        <u/>
        <sz val="9"/>
        <rFont val="Times New Roman"/>
        <family val="1"/>
      </rPr>
      <t xml:space="preserve"> GASBS No. 59</t>
    </r>
    <r>
      <rPr>
        <sz val="9"/>
        <rFont val="Times New Roman"/>
        <family val="1"/>
      </rPr>
      <t xml:space="preserve">, </t>
    </r>
    <r>
      <rPr>
        <i/>
        <sz val="9"/>
        <rFont val="Times New Roman"/>
        <family val="1"/>
      </rPr>
      <t>Financial Instruments Omnibus</t>
    </r>
    <r>
      <rPr>
        <sz val="9"/>
        <rFont val="Times New Roman"/>
        <family val="1"/>
      </rPr>
      <t xml:space="preserve">, and </t>
    </r>
    <r>
      <rPr>
        <b/>
        <u/>
        <sz val="9"/>
        <rFont val="Times New Roman"/>
        <family val="1"/>
      </rPr>
      <t>GASBS No. 64</t>
    </r>
    <r>
      <rPr>
        <sz val="9"/>
        <rFont val="Times New Roman"/>
        <family val="1"/>
      </rPr>
      <t xml:space="preserve">, </t>
    </r>
    <r>
      <rPr>
        <i/>
        <sz val="9"/>
        <rFont val="Times New Roman"/>
        <family val="1"/>
      </rPr>
      <t>Derivative Instruments:  Application of Hedge Accounting Termination Provisions</t>
    </r>
    <r>
      <rPr>
        <sz val="9"/>
        <rFont val="Times New Roman"/>
        <family val="1"/>
      </rPr>
      <t xml:space="preserve">, include amendments to </t>
    </r>
    <r>
      <rPr>
        <b/>
        <u/>
        <sz val="9"/>
        <rFont val="Times New Roman"/>
        <family val="1"/>
      </rPr>
      <t>GASBS No. 53</t>
    </r>
    <r>
      <rPr>
        <sz val="9"/>
        <rFont val="Times New Roman"/>
        <family val="1"/>
      </rPr>
      <t xml:space="preserve">.  Any reference to </t>
    </r>
    <r>
      <rPr>
        <b/>
        <u/>
        <sz val="9"/>
        <rFont val="Times New Roman"/>
        <family val="1"/>
      </rPr>
      <t>GASBS No. 53</t>
    </r>
    <r>
      <rPr>
        <sz val="9"/>
        <rFont val="Times New Roman"/>
        <family val="1"/>
      </rPr>
      <t xml:space="preserve"> in Part 12a is referring to </t>
    </r>
    <r>
      <rPr>
        <b/>
        <u/>
        <sz val="9"/>
        <rFont val="Times New Roman"/>
        <family val="1"/>
      </rPr>
      <t>GASBS No. 53</t>
    </r>
    <r>
      <rPr>
        <sz val="9"/>
        <rFont val="Times New Roman"/>
        <family val="1"/>
      </rPr>
      <t xml:space="preserve"> as amended by </t>
    </r>
    <r>
      <rPr>
        <b/>
        <u/>
        <sz val="9"/>
        <rFont val="Times New Roman"/>
        <family val="1"/>
      </rPr>
      <t>GASBS No. 59</t>
    </r>
    <r>
      <rPr>
        <sz val="9"/>
        <rFont val="Times New Roman"/>
        <family val="1"/>
      </rPr>
      <t xml:space="preserve">, </t>
    </r>
    <r>
      <rPr>
        <b/>
        <u/>
        <sz val="9"/>
        <rFont val="Times New Roman"/>
        <family val="1"/>
      </rPr>
      <t>GASBS No. 64</t>
    </r>
    <r>
      <rPr>
        <sz val="9"/>
        <rFont val="Times New Roman"/>
        <family val="1"/>
      </rPr>
      <t xml:space="preserve">, and </t>
    </r>
    <r>
      <rPr>
        <b/>
        <u/>
        <sz val="9"/>
        <rFont val="Times New Roman"/>
        <family val="1"/>
      </rPr>
      <t>GASBS No. 72</t>
    </r>
    <r>
      <rPr>
        <sz val="9"/>
        <rFont val="Times New Roman"/>
        <family val="1"/>
      </rPr>
      <t>.  This part has general questions regarding derivative instruments.  If the entity has a derivative instrument as of June 30, 2017 (i.e. "yes" to Part 12a), please submit Supplemental Item #1 along with the Attachment CU4.  Below is some guidance on how certain amounts should be reported on the template:  Contact DOA if you have any questions regarding this guidance.  
Per</t>
    </r>
    <r>
      <rPr>
        <b/>
        <sz val="9"/>
        <rFont val="Times New Roman"/>
        <family val="1"/>
      </rPr>
      <t xml:space="preserve"> </t>
    </r>
    <r>
      <rPr>
        <b/>
        <u/>
        <sz val="9"/>
        <rFont val="Times New Roman"/>
        <family val="1"/>
      </rPr>
      <t xml:space="preserve">GASBS No. 53 </t>
    </r>
    <r>
      <rPr>
        <sz val="9"/>
        <rFont val="Times New Roman"/>
        <family val="1"/>
      </rPr>
      <t>as amended by</t>
    </r>
    <r>
      <rPr>
        <b/>
        <u/>
        <sz val="9"/>
        <rFont val="Times New Roman"/>
        <family val="1"/>
      </rPr>
      <t xml:space="preserve"> GASBS No. 59,</t>
    </r>
    <r>
      <rPr>
        <sz val="9"/>
        <rFont val="Times New Roman"/>
        <family val="1"/>
      </rPr>
      <t xml:space="preserve"> </t>
    </r>
    <r>
      <rPr>
        <b/>
        <u/>
        <sz val="9"/>
        <rFont val="Times New Roman"/>
        <family val="1"/>
      </rPr>
      <t>GASBS No. 64</t>
    </r>
    <r>
      <rPr>
        <sz val="9"/>
        <rFont val="Times New Roman"/>
        <family val="1"/>
      </rPr>
      <t xml:space="preserve"> and </t>
    </r>
    <r>
      <rPr>
        <b/>
        <u/>
        <sz val="9"/>
        <rFont val="Times New Roman"/>
        <family val="1"/>
      </rPr>
      <t>GASBS No 72</t>
    </r>
    <r>
      <rPr>
        <b/>
        <sz val="9"/>
        <rFont val="Times New Roman"/>
        <family val="1"/>
      </rPr>
      <t>, derivative instruments</t>
    </r>
    <r>
      <rPr>
        <sz val="9"/>
        <rFont val="Times New Roman"/>
        <family val="1"/>
      </rPr>
      <t xml:space="preserve"> should be measured at fair value, except for fully benefit responsive-SGICs, which should be measured at contract value.  The derivative instrument classification depends on whether the derivative instrument represents assets or liabilities.  If the FST does not have a line item that properly classifies the derivative instrument, report the derivative instrument on the "Other Assets" or "Other Liabilities" FST line item. </t>
    </r>
    <r>
      <rPr>
        <b/>
        <u/>
        <sz val="9"/>
        <rFont val="Times New Roman"/>
        <family val="1"/>
      </rPr>
      <t>GASBS No.72</t>
    </r>
    <r>
      <rPr>
        <sz val="9"/>
        <rFont val="Times New Roman"/>
        <family val="1"/>
      </rPr>
      <t xml:space="preserve"> amended </t>
    </r>
    <r>
      <rPr>
        <b/>
        <u/>
        <sz val="9"/>
        <rFont val="Times New Roman"/>
        <family val="1"/>
      </rPr>
      <t>GASBS No. 53</t>
    </r>
    <r>
      <rPr>
        <sz val="9"/>
        <rFont val="Times New Roman"/>
        <family val="1"/>
      </rPr>
      <t xml:space="preserve"> and requires fair value to be determined consistent with the requirements of </t>
    </r>
    <r>
      <rPr>
        <b/>
        <u/>
        <sz val="9"/>
        <rFont val="Times New Roman"/>
        <family val="1"/>
      </rPr>
      <t>GASBS No. 72</t>
    </r>
    <r>
      <rPr>
        <sz val="9"/>
        <rFont val="Times New Roman"/>
        <family val="1"/>
      </rPr>
      <t>.</t>
    </r>
  </si>
  <si>
    <r>
      <t xml:space="preserve">Disclosures: Please provide the following information and disclosures as required by </t>
    </r>
    <r>
      <rPr>
        <b/>
        <u/>
        <sz val="9"/>
        <rFont val="Times New Roman"/>
        <family val="1"/>
      </rPr>
      <t>GASBS No. 49</t>
    </r>
    <r>
      <rPr>
        <sz val="9"/>
        <rFont val="Times New Roman"/>
        <family val="1"/>
      </rPr>
      <t>:</t>
    </r>
  </si>
  <si>
    <t>$ Fluctuation</t>
  </si>
  <si>
    <t>% Fluctuation</t>
  </si>
  <si>
    <t xml:space="preserve">Explanation </t>
  </si>
  <si>
    <t>SNP</t>
  </si>
  <si>
    <t>SA</t>
  </si>
  <si>
    <t>Component Unit Template Line Item</t>
  </si>
  <si>
    <t>Assets and Deferred Outflows of Resources:</t>
  </si>
  <si>
    <t>Restricted for: Nonexpendable</t>
  </si>
  <si>
    <t>Restricted for: Virginia Pooled Investment Program</t>
  </si>
  <si>
    <t>Restricted for: Gifts and Grants</t>
  </si>
  <si>
    <t>Restricted for: Debt Service</t>
  </si>
  <si>
    <t>Other (include description)</t>
  </si>
  <si>
    <t>Liabilities and Deferred Inflows of Resources:</t>
  </si>
  <si>
    <t>Acronyms:   SNP - Statement of Net Position, SA - Statement of Activities</t>
  </si>
  <si>
    <t>Please provide explanations for all line items that require a fluctuation analysis.</t>
  </si>
  <si>
    <t>SNP or SA</t>
  </si>
  <si>
    <t>Refer to the Implementation Guide No. 2015-1 question 7.22.3 for detailed information.</t>
  </si>
  <si>
    <t>Report the following amounts on the restricted cash, cash equivalents, and investment line items:
1)  Permanently restricted/nonexpendable amounts
2)  Unspent bond/note proceeds related to capital/construction projects
3)  Unspent proceeds related to energy performance contracts
4)  Judgment must be used to determine if any other restricted amounts should be reported on these line items</t>
  </si>
  <si>
    <t>Other - Due Greater Than One Year (include description)</t>
  </si>
  <si>
    <t xml:space="preserve">  Loans/Mortgages Receivable</t>
  </si>
  <si>
    <r>
      <t>Beginning Net Position Restatements</t>
    </r>
    <r>
      <rPr>
        <sz val="9"/>
        <rFont val="Times New Roman"/>
        <family val="1"/>
      </rPr>
      <t xml:space="preserve">:  For any "yes" answers in Parts 9a to 9h, did any transactions occur prior to July 1, 2017, </t>
    </r>
    <r>
      <rPr>
        <b/>
        <sz val="9"/>
        <rFont val="Times New Roman"/>
        <family val="1"/>
      </rPr>
      <t>and</t>
    </r>
    <r>
      <rPr>
        <sz val="9"/>
        <rFont val="Times New Roman"/>
        <family val="1"/>
      </rPr>
      <t xml:space="preserve"> require a beginning net position restatement?  If </t>
    </r>
    <r>
      <rPr>
        <b/>
        <sz val="9"/>
        <rFont val="Times New Roman"/>
        <family val="1"/>
      </rPr>
      <t>yes</t>
    </r>
    <r>
      <rPr>
        <sz val="9"/>
        <rFont val="Times New Roman"/>
        <family val="1"/>
      </rPr>
      <t>, provide a description of the transactions in the yellow box below.</t>
    </r>
  </si>
  <si>
    <t>Template Flux</t>
  </si>
  <si>
    <t>Net Pension Liability - Due Greater Than One Year</t>
  </si>
  <si>
    <t xml:space="preserve">  Local School Bonds Receivable</t>
  </si>
  <si>
    <t>Local School Bonds Receivable, net</t>
  </si>
  <si>
    <t xml:space="preserve">Tobacco Region Revitalization Commission </t>
  </si>
  <si>
    <t xml:space="preserve">Argentine Peso </t>
  </si>
  <si>
    <t xml:space="preserve">Mexican Peso </t>
  </si>
  <si>
    <t>Enter LGIP / LGIP EM amount 
into the applicable column.</t>
  </si>
  <si>
    <t>LGIP Amount</t>
  </si>
  <si>
    <t>LGIP EM Amount</t>
  </si>
  <si>
    <r>
      <t xml:space="preserve">12) </t>
    </r>
    <r>
      <rPr>
        <b/>
        <sz val="9"/>
        <color theme="1"/>
        <rFont val="Times New Roman"/>
        <family val="1"/>
      </rPr>
      <t xml:space="preserve">Other Postemployment Benefits-Related - </t>
    </r>
    <r>
      <rPr>
        <sz val="9"/>
        <color theme="1"/>
        <rFont val="Times New Roman"/>
        <family val="1"/>
      </rPr>
      <t>VRS other postemployment benefits plans - with a trust (</t>
    </r>
    <r>
      <rPr>
        <b/>
        <u/>
        <sz val="9"/>
        <color theme="1"/>
        <rFont val="Times New Roman"/>
        <family val="1"/>
      </rPr>
      <t>GASBS No. 75</t>
    </r>
    <r>
      <rPr>
        <sz val="9"/>
        <color theme="1"/>
        <rFont val="Times New Roman"/>
        <family val="1"/>
      </rPr>
      <t>)</t>
    </r>
  </si>
  <si>
    <r>
      <t xml:space="preserve">14) </t>
    </r>
    <r>
      <rPr>
        <b/>
        <sz val="9"/>
        <color theme="1"/>
        <rFont val="Times New Roman"/>
        <family val="1"/>
      </rPr>
      <t xml:space="preserve">Other Postemployment Benefits-Related </t>
    </r>
    <r>
      <rPr>
        <sz val="9"/>
        <color theme="1"/>
        <rFont val="Times New Roman"/>
        <family val="1"/>
      </rPr>
      <t>- Other postemployment benefits plans - with a trust (not with VRS) (</t>
    </r>
    <r>
      <rPr>
        <b/>
        <u/>
        <sz val="9"/>
        <color theme="1"/>
        <rFont val="Times New Roman"/>
        <family val="1"/>
      </rPr>
      <t>GASBS No. 75</t>
    </r>
    <r>
      <rPr>
        <sz val="9"/>
        <color theme="1"/>
        <rFont val="Times New Roman"/>
        <family val="1"/>
      </rPr>
      <t>)</t>
    </r>
  </si>
  <si>
    <r>
      <rPr>
        <b/>
        <u/>
        <sz val="9"/>
        <rFont val="Times New Roman"/>
        <family val="1"/>
      </rPr>
      <t>GASBS No. 75</t>
    </r>
    <r>
      <rPr>
        <b/>
        <sz val="9"/>
        <rFont val="Times New Roman"/>
        <family val="1"/>
      </rPr>
      <t xml:space="preserve">, </t>
    </r>
    <r>
      <rPr>
        <i/>
        <sz val="9"/>
        <rFont val="Times New Roman"/>
        <family val="1"/>
      </rPr>
      <t>Accounting and Financial Reporting for Postemployment Benefits Other Than Pensions</t>
    </r>
  </si>
  <si>
    <t>Refer to the applicable Implementation Guide issued by GASB, if additional guidance is necessary.</t>
  </si>
  <si>
    <t xml:space="preserve">is a Local Government Investment Pool (LGIP) managed by the Virginia Department of the Treasury. LGIP amounts should be </t>
  </si>
  <si>
    <r>
      <rPr>
        <b/>
        <u/>
        <sz val="10"/>
        <rFont val="Times New Roman"/>
        <family val="1"/>
      </rPr>
      <t>Note C</t>
    </r>
    <r>
      <rPr>
        <b/>
        <sz val="10"/>
        <rFont val="Times New Roman"/>
        <family val="1"/>
      </rPr>
      <t>:</t>
    </r>
    <r>
      <rPr>
        <sz val="10"/>
        <rFont val="Times New Roman"/>
        <family val="1"/>
      </rPr>
      <t xml:space="preserve">   </t>
    </r>
    <r>
      <rPr>
        <b/>
        <u/>
        <sz val="10"/>
        <rFont val="Times New Roman"/>
        <family val="1"/>
      </rPr>
      <t>GASBS No. 72</t>
    </r>
    <r>
      <rPr>
        <sz val="10"/>
        <rFont val="Times New Roman"/>
        <family val="1"/>
      </rPr>
      <t xml:space="preserve"> paragraph 69 permits these items to be reported at other than fair value. </t>
    </r>
  </si>
  <si>
    <t>15c</t>
  </si>
  <si>
    <t>15d</t>
  </si>
  <si>
    <r>
      <t xml:space="preserve">If </t>
    </r>
    <r>
      <rPr>
        <b/>
        <sz val="9"/>
        <rFont val="Times New Roman"/>
        <family val="1"/>
      </rPr>
      <t>no</t>
    </r>
    <r>
      <rPr>
        <sz val="9"/>
        <rFont val="Times New Roman"/>
        <family val="1"/>
      </rPr>
      <t xml:space="preserve"> - Move on to the next part.</t>
    </r>
  </si>
  <si>
    <r>
      <t xml:space="preserve">11) </t>
    </r>
    <r>
      <rPr>
        <b/>
        <sz val="9"/>
        <color theme="1"/>
        <rFont val="Times New Roman"/>
        <family val="1"/>
      </rPr>
      <t>Government Acquisition</t>
    </r>
    <r>
      <rPr>
        <sz val="9"/>
        <color theme="1"/>
        <rFont val="Times New Roman"/>
        <family val="1"/>
      </rPr>
      <t xml:space="preserve"> - Excess consideration provided by acquiring government in government acquisition. (</t>
    </r>
    <r>
      <rPr>
        <b/>
        <u/>
        <sz val="9"/>
        <color theme="1"/>
        <rFont val="Times New Roman"/>
        <family val="1"/>
      </rPr>
      <t>GASBS No. 69</t>
    </r>
    <r>
      <rPr>
        <sz val="9"/>
        <color theme="1"/>
        <rFont val="Times New Roman"/>
        <family val="1"/>
      </rPr>
      <t xml:space="preserve"> paragraph 39, as amended by </t>
    </r>
    <r>
      <rPr>
        <b/>
        <u/>
        <sz val="9"/>
        <color theme="1"/>
        <rFont val="Times New Roman"/>
        <family val="1"/>
      </rPr>
      <t>GASBS No. 85</t>
    </r>
    <r>
      <rPr>
        <sz val="9"/>
        <color theme="1"/>
        <rFont val="Times New Roman"/>
        <family val="1"/>
      </rPr>
      <t>, paragraph 5)</t>
    </r>
  </si>
  <si>
    <t xml:space="preserve">Virginia Department of Human Resource Management (DHRM) administers the following OPEB plan and this plan does not have a trust.
  1)  Commonwealth's Pre-Medicare Retiree Healthcare Program:  The Commonwealth provides a healthcare plan for retired state employees who are not yet eligible to participate in Medicare. 
Virginia Retirement System (VRS) administers the following OPEB plans and these plans have a trust.
  2) Commonwealth's Retiree Health Insurance Credit Program:  The Commonwealth provides this benefit to retired state employees based on a years of service credit towards their monthly health insurance premiums.
  3)  Commonwealth's Line of Duty Act Program:  The Commonwealth provides death and health benefits to the beneficiaries of certain law enforcement and rescue personnel disabled or killed in the line of duty.   
  4) Commonwealth's Group Life Insurance Program:  Eligible State employees who retire are entitled to postemployment life insurance benefits.  
  5)  Commonwealth's Virginia Sickness and Disability Program (also known as the Disability Insurance Trust Fund) - The Commonwealth provides disability insurance benefits to eligible retired state employees. 
</t>
  </si>
  <si>
    <r>
      <rPr>
        <b/>
        <u/>
        <sz val="9"/>
        <rFont val="Times New Roman"/>
        <family val="1"/>
      </rPr>
      <t>GASBS No. 53</t>
    </r>
    <r>
      <rPr>
        <b/>
        <sz val="9"/>
        <rFont val="Times New Roman"/>
        <family val="1"/>
      </rPr>
      <t xml:space="preserve">, </t>
    </r>
    <r>
      <rPr>
        <i/>
        <sz val="9"/>
        <rFont val="Times New Roman"/>
        <family val="1"/>
      </rPr>
      <t xml:space="preserve">Accounting and Financial Reporting for Derivative Instruments </t>
    </r>
  </si>
  <si>
    <t>reported at amortized cost and LGIP EM amounts should be reported at fair value.</t>
  </si>
  <si>
    <t>LGIP EM</t>
  </si>
  <si>
    <t>Restricted LGIP EM</t>
  </si>
  <si>
    <t>15e</t>
  </si>
  <si>
    <r>
      <t xml:space="preserve">Obligating Events:  </t>
    </r>
    <r>
      <rPr>
        <sz val="9"/>
        <rFont val="Times New Roman"/>
        <family val="1"/>
      </rPr>
      <t xml:space="preserve">Does the entity know or reasonably believe a site is polluted/contaminated </t>
    </r>
    <r>
      <rPr>
        <b/>
        <sz val="9"/>
        <rFont val="Times New Roman"/>
        <family val="1"/>
      </rPr>
      <t xml:space="preserve">and </t>
    </r>
    <r>
      <rPr>
        <sz val="9"/>
        <rFont val="Times New Roman"/>
        <family val="1"/>
      </rPr>
      <t xml:space="preserve">an obligating event* as defined in </t>
    </r>
    <r>
      <rPr>
        <b/>
        <u/>
        <sz val="9"/>
        <rFont val="Times New Roman"/>
        <family val="1"/>
      </rPr>
      <t>GASBS No. 49</t>
    </r>
    <r>
      <rPr>
        <sz val="9"/>
        <rFont val="Times New Roman"/>
        <family val="1"/>
      </rPr>
      <t xml:space="preserve"> has occurred?  If </t>
    </r>
    <r>
      <rPr>
        <b/>
        <sz val="9"/>
        <rFont val="Times New Roman"/>
        <family val="1"/>
      </rPr>
      <t>yes</t>
    </r>
    <r>
      <rPr>
        <sz val="9"/>
        <rFont val="Times New Roman"/>
        <family val="1"/>
      </rPr>
      <t>, provide a description of the following: site, pollution/contamination, obligating event* as well as the month/year the obligating event took place, and estimated pollution remediation liability amount or indicate if amount or portions are not yet recognized because they are not reasonable estimable.</t>
    </r>
    <r>
      <rPr>
        <sz val="9"/>
        <rFont val="Times New Roman"/>
        <family val="1"/>
      </rPr>
      <t xml:space="preserve">
</t>
    </r>
    <r>
      <rPr>
        <b/>
        <u/>
        <sz val="9"/>
        <rFont val="Times New Roman"/>
        <family val="1"/>
      </rPr>
      <t>Note:</t>
    </r>
    <r>
      <rPr>
        <sz val="9"/>
        <rFont val="Times New Roman"/>
        <family val="1"/>
      </rPr>
      <t xml:space="preserve"> DOA may request additional information in a separate communication.</t>
    </r>
  </si>
  <si>
    <r>
      <t xml:space="preserve">If </t>
    </r>
    <r>
      <rPr>
        <b/>
        <sz val="9"/>
        <rFont val="Times New Roman"/>
        <family val="1"/>
      </rPr>
      <t>yes</t>
    </r>
    <r>
      <rPr>
        <sz val="9"/>
        <rFont val="Times New Roman"/>
        <family val="1"/>
      </rPr>
      <t xml:space="preserve">, provide the description, line item, and amount of insurance recoveries.  
If </t>
    </r>
    <r>
      <rPr>
        <b/>
        <sz val="9"/>
        <rFont val="Times New Roman"/>
        <family val="1"/>
      </rPr>
      <t>no</t>
    </r>
    <r>
      <rPr>
        <sz val="9"/>
        <rFont val="Times New Roman"/>
        <family val="1"/>
      </rPr>
      <t>, move on to the next part.</t>
    </r>
  </si>
  <si>
    <r>
      <t xml:space="preserve">In addition to pensions, many state and local governmental employers provide other postemployment benefits (OPEB) as part of the total compensation offered to attract and retain the services of qualified employees. OPEB includes postemployment healthcare, as well as other forms of postemployment benefits (for example, life insurance) when provided separately from a pension plan. </t>
    </r>
    <r>
      <rPr>
        <b/>
        <u/>
        <sz val="9"/>
        <rFont val="Times New Roman"/>
        <family val="1"/>
      </rPr>
      <t>GASBS No. 75</t>
    </r>
    <r>
      <rPr>
        <sz val="9"/>
        <rFont val="Times New Roman"/>
        <family val="1"/>
      </rPr>
      <t xml:space="preserve"> establishes standards for the measurement, recognition, and display of OPEB expenses and related liabilities (assets), note disclosures, and, if applicable, required supplementary information (RSI) in the financial reports of state and local governmental employers.  </t>
    </r>
    <r>
      <rPr>
        <b/>
        <u/>
        <sz val="9"/>
        <rFont val="Times New Roman"/>
        <family val="1"/>
      </rPr>
      <t>GASBS No. 85</t>
    </r>
    <r>
      <rPr>
        <sz val="9"/>
        <rFont val="Times New Roman"/>
        <family val="1"/>
      </rPr>
      <t xml:space="preserve">, </t>
    </r>
    <r>
      <rPr>
        <i/>
        <sz val="9"/>
        <rFont val="Times New Roman"/>
        <family val="1"/>
      </rPr>
      <t>Omnibus 2017</t>
    </r>
    <r>
      <rPr>
        <sz val="9"/>
        <rFont val="Times New Roman"/>
        <family val="1"/>
      </rPr>
      <t xml:space="preserve">, amends </t>
    </r>
    <r>
      <rPr>
        <b/>
        <u/>
        <sz val="9"/>
        <rFont val="Times New Roman"/>
        <family val="1"/>
      </rPr>
      <t>GASBS No. 75</t>
    </r>
    <r>
      <rPr>
        <sz val="9"/>
        <rFont val="Times New Roman"/>
        <family val="1"/>
      </rPr>
      <t xml:space="preserve">.  A listing of state OPEBs follows:
</t>
    </r>
    <r>
      <rPr>
        <b/>
        <u/>
        <sz val="9"/>
        <rFont val="Times New Roman"/>
        <family val="1"/>
      </rPr>
      <t>Note</t>
    </r>
    <r>
      <rPr>
        <sz val="9"/>
        <rFont val="Times New Roman"/>
        <family val="1"/>
      </rPr>
      <t xml:space="preserve">:  </t>
    </r>
    <r>
      <rPr>
        <sz val="9"/>
        <rFont val="Times New Roman"/>
        <family val="1"/>
      </rPr>
      <t xml:space="preserve"> DOA may request additional information in a separate communication.</t>
    </r>
  </si>
  <si>
    <r>
      <t xml:space="preserve">Does the entity have any OPEBs that are administered by the entity and </t>
    </r>
    <r>
      <rPr>
        <u/>
        <sz val="9"/>
        <rFont val="Times New Roman"/>
        <family val="1"/>
      </rPr>
      <t>not</t>
    </r>
    <r>
      <rPr>
        <sz val="9"/>
        <rFont val="Times New Roman"/>
        <family val="1"/>
      </rPr>
      <t xml:space="preserve"> by the Commonwealth of Virginia that are required to be reported in accordance with </t>
    </r>
    <r>
      <rPr>
        <b/>
        <u/>
        <sz val="9"/>
        <rFont val="Times New Roman"/>
        <family val="1"/>
      </rPr>
      <t>GASBS No. 75</t>
    </r>
    <r>
      <rPr>
        <sz val="9"/>
        <rFont val="Times New Roman"/>
        <family val="1"/>
      </rPr>
      <t xml:space="preserve">,  as amended by </t>
    </r>
    <r>
      <rPr>
        <b/>
        <u/>
        <sz val="9"/>
        <rFont val="Times New Roman"/>
        <family val="1"/>
      </rPr>
      <t>GASBS No. 85</t>
    </r>
    <r>
      <rPr>
        <sz val="9"/>
        <rFont val="Times New Roman"/>
        <family val="1"/>
      </rPr>
      <t>?</t>
    </r>
  </si>
  <si>
    <r>
      <t xml:space="preserve">Does the entity have a liability required to be reported in accordance with </t>
    </r>
    <r>
      <rPr>
        <b/>
        <u/>
        <sz val="9"/>
        <rFont val="Times New Roman"/>
        <family val="1"/>
      </rPr>
      <t>GASBS No. 75</t>
    </r>
    <r>
      <rPr>
        <sz val="9"/>
        <rFont val="Times New Roman"/>
        <family val="1"/>
      </rPr>
      <t xml:space="preserve">, as amended by </t>
    </r>
    <r>
      <rPr>
        <b/>
        <u/>
        <sz val="9"/>
        <rFont val="Times New Roman"/>
        <family val="1"/>
      </rPr>
      <t>GASBS No. 85</t>
    </r>
    <r>
      <rPr>
        <sz val="9"/>
        <rFont val="Times New Roman"/>
        <family val="1"/>
      </rPr>
      <t xml:space="preserve">, for an OPEB(s) that is </t>
    </r>
    <r>
      <rPr>
        <u/>
        <sz val="9"/>
        <rFont val="Times New Roman"/>
        <family val="1"/>
      </rPr>
      <t>not</t>
    </r>
    <r>
      <rPr>
        <sz val="9"/>
        <rFont val="Times New Roman"/>
        <family val="1"/>
      </rPr>
      <t xml:space="preserve"> offered by the Commonwealth of Virginia?</t>
    </r>
  </si>
  <si>
    <r>
      <t xml:space="preserve">Provide the net OPEB liability $ amount for OPEB plan(s) with a trust and </t>
    </r>
    <r>
      <rPr>
        <u/>
        <sz val="9"/>
        <rFont val="Times New Roman"/>
        <family val="1"/>
      </rPr>
      <t>not</t>
    </r>
    <r>
      <rPr>
        <sz val="9"/>
        <rFont val="Times New Roman"/>
        <family val="1"/>
      </rPr>
      <t xml:space="preserve"> offered by the Commonwealth of Virginia </t>
    </r>
  </si>
  <si>
    <r>
      <t xml:space="preserve">15) </t>
    </r>
    <r>
      <rPr>
        <b/>
        <sz val="9"/>
        <color theme="1"/>
        <rFont val="Times New Roman"/>
        <family val="1"/>
      </rPr>
      <t>Other Postemployment Benefits-Related</t>
    </r>
    <r>
      <rPr>
        <sz val="9"/>
        <color theme="1"/>
        <rFont val="Times New Roman"/>
        <family val="1"/>
      </rPr>
      <t xml:space="preserve"> - Other postemployment benefits plans - </t>
    </r>
    <r>
      <rPr>
        <u/>
        <sz val="9"/>
        <color theme="1"/>
        <rFont val="Times New Roman"/>
        <family val="1"/>
      </rPr>
      <t>not</t>
    </r>
    <r>
      <rPr>
        <sz val="9"/>
        <color theme="1"/>
        <rFont val="Times New Roman"/>
        <family val="1"/>
      </rPr>
      <t xml:space="preserve"> with a trust (not with DHRM) (</t>
    </r>
    <r>
      <rPr>
        <b/>
        <u/>
        <sz val="9"/>
        <color theme="1"/>
        <rFont val="Times New Roman"/>
        <family val="1"/>
      </rPr>
      <t>GASBS No. 75</t>
    </r>
    <r>
      <rPr>
        <sz val="9"/>
        <color theme="1"/>
        <rFont val="Times New Roman"/>
        <family val="1"/>
      </rPr>
      <t>)</t>
    </r>
  </si>
  <si>
    <t>Include short-term debt that is related to capital assets (enter as negative)</t>
  </si>
  <si>
    <t>Net Pension Liability</t>
  </si>
  <si>
    <r>
      <t xml:space="preserve">Provide the Total OPEB liability $ amount for OPEB plans not with a trust and </t>
    </r>
    <r>
      <rPr>
        <u/>
        <sz val="9"/>
        <rFont val="Times New Roman"/>
        <family val="1"/>
      </rPr>
      <t>not</t>
    </r>
    <r>
      <rPr>
        <sz val="9"/>
        <rFont val="Times New Roman"/>
        <family val="1"/>
      </rPr>
      <t xml:space="preserve"> offered by the Commonwealth of Virginia</t>
    </r>
  </si>
  <si>
    <t xml:space="preserve">Bond Indenture </t>
  </si>
  <si>
    <t>Net Other Postemployment Benefit-VSDP</t>
  </si>
  <si>
    <r>
      <t xml:space="preserve">Direct Placement as defined in </t>
    </r>
    <r>
      <rPr>
        <b/>
        <u/>
        <sz val="8"/>
        <rFont val="Times New Roman"/>
        <family val="1"/>
      </rPr>
      <t>GASB No. 88</t>
    </r>
  </si>
  <si>
    <r>
      <rPr>
        <b/>
        <u/>
        <sz val="9"/>
        <rFont val="Times New Roman"/>
        <family val="1"/>
      </rPr>
      <t>GASBS No. 88</t>
    </r>
    <r>
      <rPr>
        <b/>
        <sz val="9"/>
        <rFont val="Times New Roman"/>
        <family val="1"/>
      </rPr>
      <t xml:space="preserve">, </t>
    </r>
    <r>
      <rPr>
        <i/>
        <sz val="9"/>
        <rFont val="Times New Roman"/>
        <family val="1"/>
      </rPr>
      <t>Certain Disclosures Related to Debt, including Direct Borrowings and Direct Placements</t>
    </r>
  </si>
  <si>
    <r>
      <t xml:space="preserve">Terms Specified in Debt Agreements:  </t>
    </r>
    <r>
      <rPr>
        <sz val="9"/>
        <rFont val="Times New Roman"/>
        <family val="1"/>
      </rPr>
      <t>Does the entity have terms specified in debt agreements related to the following significant:</t>
    </r>
  </si>
  <si>
    <t>Part 2: Idle Capital Assets - Temporarily or Permanently Impaired</t>
  </si>
  <si>
    <t>AGRICULTURAL COUNCIL</t>
  </si>
  <si>
    <t>ATTORNEY GENERAL AND DEPARTMENT OF LAW</t>
  </si>
  <si>
    <t>CENTRAL CAPITAL OUTLAY</t>
  </si>
  <si>
    <t>CHILDREN'S SERVICES ACT</t>
  </si>
  <si>
    <t>CITIZENS' ADVISORY COUNCIL ON FURNISHING AND INTERPRETING THE EXECUTIVE MANSION</t>
  </si>
  <si>
    <t>COMMONWEALTH'S ATTORNEYS' SERVICES COUNCIL</t>
  </si>
  <si>
    <t>DEPARTMENT FOR AGING AND REHABILITATIVE SERVICES</t>
  </si>
  <si>
    <t>DEPARTMENT FOR THE BLIND AND VISION IMPAIRED</t>
  </si>
  <si>
    <t>DEPARTMENT FOR THE DEAF AND HARD-OF-HEARING</t>
  </si>
  <si>
    <t>DEPARTMENT OF AGRICULTURE AND CONSUMER SERVICES</t>
  </si>
  <si>
    <t>DEPARTMENT OF CONSERVATION AND RECREATION</t>
  </si>
  <si>
    <t>DEPARTMENT OF CORRECTIONS--CENTRAL ADMINISTRATION</t>
  </si>
  <si>
    <t>DEPARTMENT OF EDUCATION, CENTRAL OFFICE OPERATIONS</t>
  </si>
  <si>
    <t>DEPARTMENT OF EDUCATION-DIRECT AID TO PUBLIC EDUCATION</t>
  </si>
  <si>
    <t>DEPARTMENT OF HOUSING AND COMMUNITY DEVELOPMENT</t>
  </si>
  <si>
    <t>DEPARTMENT OF MEDICAL ASSISTANCE SERVICES</t>
  </si>
  <si>
    <t>DEPARTMENT OF PROFESSIONAL AND OCCUPATIONAL REGULATION</t>
  </si>
  <si>
    <t>DEPARTMENT OF RAIL AND PUBLIC TRANSPORTATION</t>
  </si>
  <si>
    <t>DEPARTMENT OF SMALL BUSINESS AND SUPPLIER DIVERSITY</t>
  </si>
  <si>
    <t>DIVISION OF DEBT COLLECTION</t>
  </si>
  <si>
    <t>DIVISION OF LEGISLATIVE AUTOMATED SYSTEMS</t>
  </si>
  <si>
    <t>DR. MARTIN LUTHER KING, JR. MEMORIAL COMMISSION</t>
  </si>
  <si>
    <t>ECONOMIC DEVELOPMENT INCENTIVE PAYMENTS</t>
  </si>
  <si>
    <t>JAMESTOWN-YORKTOWN COMMEMORATIONS</t>
  </si>
  <si>
    <t>JOINT COMMISSION ON TECHNOLOGY AND SCIENCE</t>
  </si>
  <si>
    <t>JOINT LEGISLATIVE AUDIT AND REVIEW COMMISSION</t>
  </si>
  <si>
    <t>ONLINE VIRGINIA NETWORK AUTHORITY</t>
  </si>
  <si>
    <t>SENATE OF VIRGINIA</t>
  </si>
  <si>
    <t>SITTER &amp; BARFOOT VETERANS CARE CENTER</t>
  </si>
  <si>
    <t>STATE COUNCIL OF HIGHER EDUCATION FOR VIRGINIA</t>
  </si>
  <si>
    <t>VETERANS SERVICES FOUNDATION</t>
  </si>
  <si>
    <t>VIRGINIA BOARD FOR PEOPLE WITH DISABILITIES</t>
  </si>
  <si>
    <t>VIRGINIA COMMISSION ON INTERGOVERNMENTAL COOPERATION</t>
  </si>
  <si>
    <t>VIRGINIA CONFLICT OF INTEREST AND ETHICS ADVISORY COUNCIL</t>
  </si>
  <si>
    <t>VIRGINIA FREEDOM OF INFORMATION ADVISORY COUNCIL</t>
  </si>
  <si>
    <t>VIRGINIA MANAGEMENT FELLOWS PROGRAM ADMINISTRATION</t>
  </si>
  <si>
    <t>VIRGINIA REHABILITATION CENTER FOR THE BLIND AND VISION IMPAIRED</t>
  </si>
  <si>
    <t>VIRGINIA SCHOOL FOR THE DEAF AND THE BLIND</t>
  </si>
  <si>
    <t>VIRGINIA STATE CRIME COMMISSION</t>
  </si>
  <si>
    <t>VIRGINIA WORKERS' COMPENSATION COMMISSION</t>
  </si>
  <si>
    <t>VIRGINIA WORLD WAR I AND WORLD WAR II COMMEMORATION COMMISSION</t>
  </si>
  <si>
    <t>A. L. PHILPOTT MANUFACTURING EXTENSION PARTNERSHIP</t>
  </si>
  <si>
    <t>CENTER FOR RURAL VIRGINIA</t>
  </si>
  <si>
    <t>CHESAPEAKE BAY BRIDGE AND TUNNEL COMMISSION / DISTRICT</t>
  </si>
  <si>
    <t>JAMESTOWN-YORKTOWN EDUCATIONAL TRUST</t>
  </si>
  <si>
    <t>SCIENCE MUSEUM OF VIRGINIA FOUNDATION, INC.</t>
  </si>
  <si>
    <t>TOBACCO SETTLEMENT FINANCING CORPORATION</t>
  </si>
  <si>
    <t>VIRGINIA ALCOHOLIC BEVERAGE CONTROL AUTHORITY</t>
  </si>
  <si>
    <t>VIRGINIA BIOTECHNOLOGY RESEARCH PARTNERSHIP AUTHORITY</t>
  </si>
  <si>
    <t>VIRGINIA BIRTH-RELATED NEUROLOGICAL INJURY COMPENSATION PROGRAM</t>
  </si>
  <si>
    <t>VIRGINIA NUCLEAR ENERGY CONSORTIUM AUTHORITY</t>
  </si>
  <si>
    <t>VIRGINIA RECREATIONAL FACILITIES AUTHORITY (VA EXPLORE PARK)</t>
  </si>
  <si>
    <t>VIRGINIA SOLAR ENERGY DEVELOPMENT AND ENERGY STORAGE AUTHORITY</t>
  </si>
  <si>
    <t>THE COLLEGE OF WILLIAM AND MARY IN VIRGINIA</t>
  </si>
  <si>
    <t>UNIVERSITY OF VIRGINIA</t>
  </si>
  <si>
    <t>SOUTHWEST VIRGINIA HIGHER EDUCATION CENTER</t>
  </si>
  <si>
    <t>VIRGINIA COOPERATIVE EXTENSION AND AGRICULTURAL EXPERIMENT STATION</t>
  </si>
  <si>
    <t>VIRGINIA COMMONWEALTH UNIVERSITY HEALTH SYSTEM AUTHORITY</t>
  </si>
  <si>
    <t>VIRGINIA COMMUNITY COLLEGE SYSTEM - CENTRAL OFFICE</t>
  </si>
  <si>
    <t>VIRGINIA COMMUNITY COLLEGE SYSTEM - SHARED SERVICES CENTER</t>
  </si>
  <si>
    <t>PAUL D. CAMP COMMUNITY COLLEGE</t>
  </si>
  <si>
    <t>SOUTHERN VIRGINIA HIGHER EDUCATION CENTER</t>
  </si>
  <si>
    <t>Provide a description below.</t>
  </si>
  <si>
    <t>Restricted for: Bond Indenture</t>
  </si>
  <si>
    <t>1) events of default with finance-related consequences,</t>
  </si>
  <si>
    <t>2) termination events with finance-related consequences, and/or</t>
  </si>
  <si>
    <t>3) subjective acceleration clauses?</t>
  </si>
  <si>
    <t>b)  Total of bank balances as reported by the depositories or custodial financial institutions as of June 30</t>
  </si>
  <si>
    <t>Total bank balances for Part 2b plus Part 2.1b</t>
  </si>
  <si>
    <r>
      <t xml:space="preserve">     (Refer to the Appendix 1 of instructions and the FDIC website at </t>
    </r>
    <r>
      <rPr>
        <u/>
        <sz val="10"/>
        <rFont val="Times New Roman"/>
        <family val="1"/>
      </rPr>
      <t>www.fdic.gov</t>
    </r>
    <r>
      <rPr>
        <sz val="10"/>
        <rFont val="Times New Roman"/>
        <family val="1"/>
      </rPr>
      <t xml:space="preserve"> for FDIC coverage information and definitions.)</t>
    </r>
  </si>
  <si>
    <r>
      <t>c)</t>
    </r>
    <r>
      <rPr>
        <b/>
        <sz val="10"/>
        <rFont val="Times New Roman"/>
        <family val="1"/>
      </rPr>
      <t xml:space="preserve">  </t>
    </r>
    <r>
      <rPr>
        <sz val="10"/>
        <rFont val="Times New Roman"/>
        <family val="1"/>
      </rPr>
      <t xml:space="preserve">Provide the amount in 2.2 above of any cash deposits or nonnegotiable CDs NOT held with the Treasurer of Virginia that is NOT covered </t>
    </r>
  </si>
  <si>
    <t xml:space="preserve">      by the FDIC or the Security for Public Deposits Act in the applicable options below: </t>
  </si>
  <si>
    <t>Total cash and nonnegotiable CDs collateralized or not collateralized (Should agree to amount reported in 2.2 above, if not an "error" message will appear.)</t>
  </si>
  <si>
    <t xml:space="preserve"> d) Provide an explanation if the amount reported in Part 3a is greater than $250,000.</t>
  </si>
  <si>
    <t>Total bank balances for Part 4b plus Part 4.1b</t>
  </si>
  <si>
    <r>
      <t xml:space="preserve">     and the FDIC website at </t>
    </r>
    <r>
      <rPr>
        <u/>
        <sz val="10"/>
        <rFont val="Times New Roman"/>
        <family val="1"/>
      </rPr>
      <t>www.fdic.gov</t>
    </r>
    <r>
      <rPr>
        <sz val="10"/>
        <rFont val="Times New Roman"/>
        <family val="1"/>
      </rPr>
      <t xml:space="preserve"> for FDIC coverage information and definitions.)</t>
    </r>
  </si>
  <si>
    <t>Total cash and nonnegotiable CDs collateralized or not collateralized (Should agree to amount reported in 4.2 above, if not an "error" message will appear.)</t>
  </si>
  <si>
    <t xml:space="preserve"> d) Provide an explanation if the amount reported in Part 5a is greater than $250,000.</t>
  </si>
  <si>
    <t>Total cash not held with the Treasurer of Virginia that agrees to financial statements (sum of Part 2a and 4a above):</t>
  </si>
  <si>
    <t>Does the amount reported agree to the entity's LGIP / LGIP EM statements?</t>
  </si>
  <si>
    <t xml:space="preserve">c) Does the information provided on Tab 1A-Detail, Tab 1B-Cash Eq. &amp; Inv. Not w Tr, Tab 1C-Foreign Currency Inv, and Tab 1D-Recordation </t>
  </si>
  <si>
    <t xml:space="preserve">in debt securities highly sensitive to interest rate changes?  </t>
  </si>
  <si>
    <t>are subject to foreign exchange risk plus deposits (cash NOT held with Treasurer of VA) subject to foreign exchange risk.  This amount</t>
  </si>
  <si>
    <t>CUSIP Number</t>
  </si>
  <si>
    <t>DEBT - Corporate Bonds and Notes</t>
  </si>
  <si>
    <t>DEBT - Supranational and Non-U.S. Government Bonds and Notes</t>
  </si>
  <si>
    <t>DEBT - Commercial Paper</t>
  </si>
  <si>
    <t>DEBT - Negotiable Certificates of Deposit</t>
  </si>
  <si>
    <t>DEBT - Reverse Repurchase Agreements</t>
  </si>
  <si>
    <t>DEBT - Repurchase Agreements</t>
  </si>
  <si>
    <t>DEBT - Municipal Securities</t>
  </si>
  <si>
    <t>DEBT - Asset Backed Securities</t>
  </si>
  <si>
    <t>DEBT - Agency Unsecured Bonds and Notes</t>
  </si>
  <si>
    <t>DEBT - Agency Mortgage Backed Securities</t>
  </si>
  <si>
    <t>DEBT - Guaranteed Investment Contracts</t>
  </si>
  <si>
    <t>DEBT - Fixed Income and Commingled Funds</t>
  </si>
  <si>
    <t>DEBT - Other Debt Securities (provide description)</t>
  </si>
  <si>
    <t>EQUITY - Common and Preferred Stocks</t>
  </si>
  <si>
    <t>EQUITY - Foreign Currencies</t>
  </si>
  <si>
    <t>EQUITY - Equity Index and Pooled Funds</t>
  </si>
  <si>
    <t>EQUITY - Real Estate</t>
  </si>
  <si>
    <t>EQUITY - Other Equity Securities (provide description)</t>
  </si>
  <si>
    <t xml:space="preserve">and investments of state and local governments.”  With this in mind, please provide a description of any other type of risk to cash, cash equivalents, and investments </t>
  </si>
  <si>
    <t>not covered elsewhere on this attachment.</t>
  </si>
  <si>
    <t>SNAP Individual Portfolio 
Account #</t>
  </si>
  <si>
    <t>SNAP Individual Portfolio Account #</t>
  </si>
  <si>
    <t>LGIP / LGIP EM 
Account #</t>
  </si>
  <si>
    <t>Credit Risk</t>
  </si>
  <si>
    <t xml:space="preserve">Interest Rate Risk </t>
  </si>
  <si>
    <t>Custodial Credit Risk</t>
  </si>
  <si>
    <t>Credit Rating - Moody's / Standard &amp; Poor's / Fitch</t>
  </si>
  <si>
    <t xml:space="preserve">Category 3 
</t>
  </si>
  <si>
    <r>
      <t xml:space="preserve">Fair Value Measurement using (per </t>
    </r>
    <r>
      <rPr>
        <b/>
        <u/>
        <sz val="11"/>
        <rFont val="Times New Roman"/>
        <family val="1"/>
      </rPr>
      <t>GASBS No. 72</t>
    </r>
    <r>
      <rPr>
        <b/>
        <sz val="11"/>
        <rFont val="Times New Roman"/>
        <family val="1"/>
      </rPr>
      <t>)</t>
    </r>
  </si>
  <si>
    <t>Type</t>
  </si>
  <si>
    <t>Investment</t>
  </si>
  <si>
    <t>Description / Issuer</t>
  </si>
  <si>
    <t>Ticker Symbol</t>
  </si>
  <si>
    <t>P-1 / A-1 / F1</t>
  </si>
  <si>
    <t>P-2 / A-2 / F2</t>
  </si>
  <si>
    <t>P-3 / A-3 / F3</t>
  </si>
  <si>
    <t>Aaa / AAA / AAA</t>
  </si>
  <si>
    <t>Aa / AA / AA</t>
  </si>
  <si>
    <t>A / A / A</t>
  </si>
  <si>
    <t>Baa / BBB / BBB</t>
  </si>
  <si>
    <t xml:space="preserve">
Ba and below / 
BB and below / 
BB and below
(Less than Investment Grade)</t>
  </si>
  <si>
    <t>Unrated</t>
  </si>
  <si>
    <r>
      <t xml:space="preserve">Not Subject to Credit Risk Disclosure per </t>
    </r>
    <r>
      <rPr>
        <b/>
        <u/>
        <sz val="11"/>
        <rFont val="Times New Roman"/>
        <family val="1"/>
      </rPr>
      <t>GASBS No. 40</t>
    </r>
  </si>
  <si>
    <t>Less Than 1 Year</t>
  </si>
  <si>
    <t>1-5 Years</t>
  </si>
  <si>
    <t>6-10 Years</t>
  </si>
  <si>
    <t>Greater Than 10 Years</t>
  </si>
  <si>
    <t>Held by Counterparty</t>
  </si>
  <si>
    <t>Held by Counterparty's Trust Department or Agent but not in  Government's Name</t>
  </si>
  <si>
    <t>Uncategorized</t>
  </si>
  <si>
    <t>Reported Amount</t>
  </si>
  <si>
    <t>Check Figure</t>
  </si>
  <si>
    <r>
      <rPr>
        <b/>
        <u/>
        <sz val="11"/>
        <rFont val="Times New Roman"/>
        <family val="1"/>
      </rPr>
      <t>Not</t>
    </r>
    <r>
      <rPr>
        <b/>
        <sz val="11"/>
        <rFont val="Times New Roman"/>
        <family val="1"/>
      </rPr>
      <t xml:space="preserve"> applicable to fair value measurement per </t>
    </r>
    <r>
      <rPr>
        <b/>
        <u/>
        <sz val="11"/>
        <rFont val="Times New Roman"/>
        <family val="1"/>
      </rPr>
      <t>GASBS No. 72</t>
    </r>
  </si>
  <si>
    <t>Quoted prices (unadjusted)  in active markets for identical assets
(Level 1)</t>
  </si>
  <si>
    <r>
      <t xml:space="preserve">Fair value established using Net Asset Value Per Share (or its equivalent) as permitted by </t>
    </r>
    <r>
      <rPr>
        <b/>
        <u/>
        <sz val="11"/>
        <rFont val="Times New Roman"/>
        <family val="1"/>
      </rPr>
      <t>GASBS No. 72</t>
    </r>
  </si>
  <si>
    <t>Accuracy Check</t>
  </si>
  <si>
    <t>Entity</t>
  </si>
  <si>
    <r>
      <rPr>
        <b/>
        <u/>
        <sz val="9"/>
        <rFont val="Times New Roman"/>
        <family val="1"/>
      </rPr>
      <t>GASBS No. 72</t>
    </r>
    <r>
      <rPr>
        <b/>
        <sz val="9"/>
        <rFont val="Times New Roman"/>
        <family val="1"/>
      </rPr>
      <t xml:space="preserve">, </t>
    </r>
    <r>
      <rPr>
        <i/>
        <sz val="9"/>
        <rFont val="Times New Roman"/>
        <family val="1"/>
      </rPr>
      <t xml:space="preserve">Fair Value Measurement and Application   </t>
    </r>
    <r>
      <rPr>
        <sz val="9"/>
        <rFont val="Times New Roman"/>
        <family val="1"/>
      </rPr>
      <t>(</t>
    </r>
    <r>
      <rPr>
        <b/>
        <u/>
        <sz val="9"/>
        <rFont val="Times New Roman"/>
        <family val="1"/>
      </rPr>
      <t>Note</t>
    </r>
    <r>
      <rPr>
        <sz val="9"/>
        <rFont val="Times New Roman"/>
        <family val="1"/>
      </rPr>
      <t>:  DOA may request additional information in a separate communication.)</t>
    </r>
  </si>
  <si>
    <r>
      <rPr>
        <b/>
        <sz val="9"/>
        <rFont val="Times New Roman"/>
        <family val="1"/>
      </rPr>
      <t>Valuation Technique</t>
    </r>
    <r>
      <rPr>
        <sz val="9"/>
        <rFont val="Times New Roman"/>
        <family val="1"/>
      </rPr>
      <t xml:space="preserve">: For items reported using the </t>
    </r>
    <r>
      <rPr>
        <b/>
        <u/>
        <sz val="9"/>
        <rFont val="Times New Roman"/>
        <family val="1"/>
      </rPr>
      <t>GASBS No. 72</t>
    </r>
    <r>
      <rPr>
        <sz val="9"/>
        <rFont val="Times New Roman"/>
        <family val="1"/>
      </rPr>
      <t xml:space="preserve"> hierarchy in question 15a above, has there been a change in valuation technique(s) from previous year?</t>
    </r>
  </si>
  <si>
    <t>reported in column AD on the Tab 1B-Cash Eq. &amp; Inv. Not w Tr.</t>
  </si>
  <si>
    <t>Terms that make Investment 
Highly Sensitive to Interest Rate Changes</t>
  </si>
  <si>
    <r>
      <t xml:space="preserve">    Cash Equivalent and Investment </t>
    </r>
    <r>
      <rPr>
        <b/>
        <sz val="10"/>
        <rFont val="Times New Roman"/>
        <family val="1"/>
      </rPr>
      <t>Not Held</t>
    </r>
    <r>
      <rPr>
        <sz val="10"/>
        <rFont val="Times New Roman"/>
        <family val="1"/>
      </rPr>
      <t xml:space="preserve"> With Treasure and SNAP Individual Portfolio</t>
    </r>
    <r>
      <rPr>
        <b/>
        <sz val="10"/>
        <rFont val="Times New Roman"/>
        <family val="1"/>
      </rPr>
      <t>"</t>
    </r>
    <r>
      <rPr>
        <sz val="10"/>
        <rFont val="Times New Roman"/>
        <family val="1"/>
      </rPr>
      <t xml:space="preserve"> (Unrestricted/Restricted) listed in Part 7a above?</t>
    </r>
  </si>
  <si>
    <r>
      <rPr>
        <b/>
        <u/>
        <sz val="10"/>
        <rFont val="Times New Roman"/>
        <family val="1"/>
      </rPr>
      <t>Note D1</t>
    </r>
    <r>
      <rPr>
        <b/>
        <sz val="10"/>
        <rFont val="Times New Roman"/>
        <family val="1"/>
      </rPr>
      <t>:</t>
    </r>
    <r>
      <rPr>
        <sz val="10"/>
        <rFont val="Times New Roman"/>
        <family val="1"/>
      </rPr>
      <t xml:space="preserve">  </t>
    </r>
    <r>
      <rPr>
        <b/>
        <u/>
        <sz val="10"/>
        <rFont val="Times New Roman"/>
        <family val="1"/>
      </rPr>
      <t>GASBS No. 72</t>
    </r>
    <r>
      <rPr>
        <sz val="10"/>
        <rFont val="Times New Roman"/>
        <family val="1"/>
      </rPr>
      <t xml:space="preserve"> includes amendments to </t>
    </r>
    <r>
      <rPr>
        <b/>
        <u/>
        <sz val="10"/>
        <rFont val="Times New Roman"/>
        <family val="1"/>
      </rPr>
      <t>GASBS No. 31</t>
    </r>
    <r>
      <rPr>
        <sz val="10"/>
        <rFont val="Times New Roman"/>
        <family val="1"/>
      </rPr>
      <t xml:space="preserve">.  See </t>
    </r>
    <r>
      <rPr>
        <b/>
        <u/>
        <sz val="10"/>
        <rFont val="Times New Roman"/>
        <family val="1"/>
      </rPr>
      <t>GASBS No. 72</t>
    </r>
    <r>
      <rPr>
        <sz val="10"/>
        <rFont val="Times New Roman"/>
        <family val="1"/>
      </rPr>
      <t xml:space="preserve"> for additional information. </t>
    </r>
  </si>
  <si>
    <t>LGIP-EM should be included in this category.</t>
  </si>
  <si>
    <r>
      <t xml:space="preserve">           </t>
    </r>
    <r>
      <rPr>
        <i/>
        <sz val="10"/>
        <rFont val="Times New Roman"/>
        <family val="1"/>
      </rPr>
      <t/>
    </r>
  </si>
  <si>
    <r>
      <t xml:space="preserve">            </t>
    </r>
    <r>
      <rPr>
        <b/>
        <u/>
        <sz val="10"/>
        <rFont val="Times New Roman"/>
        <family val="1"/>
      </rPr>
      <t>GASBS No. 72</t>
    </r>
    <r>
      <rPr>
        <sz val="10"/>
        <rFont val="Times New Roman"/>
        <family val="1"/>
      </rPr>
      <t xml:space="preserve">, </t>
    </r>
    <r>
      <rPr>
        <i/>
        <sz val="10"/>
        <rFont val="Times New Roman"/>
        <family val="1"/>
      </rPr>
      <t xml:space="preserve">Fair Value Measurement and Application, </t>
    </r>
    <r>
      <rPr>
        <sz val="10"/>
        <rFont val="Times New Roman"/>
        <family val="1"/>
      </rPr>
      <t xml:space="preserve">and </t>
    </r>
    <r>
      <rPr>
        <b/>
        <u/>
        <sz val="10"/>
        <rFont val="Times New Roman"/>
        <family val="1"/>
      </rPr>
      <t>GASBS No. 79</t>
    </r>
    <r>
      <rPr>
        <sz val="10"/>
        <rFont val="Times New Roman"/>
        <family val="1"/>
      </rPr>
      <t xml:space="preserve">, </t>
    </r>
    <r>
      <rPr>
        <i/>
        <sz val="10"/>
        <rFont val="Times New Roman"/>
        <family val="1"/>
      </rPr>
      <t>Certain External Investment Pools and Pool Participants?</t>
    </r>
  </si>
  <si>
    <t>Yes / No / N/A*</t>
  </si>
  <si>
    <r>
      <t xml:space="preserve">13) </t>
    </r>
    <r>
      <rPr>
        <b/>
        <sz val="9"/>
        <color theme="1"/>
        <rFont val="Times New Roman"/>
        <family val="1"/>
      </rPr>
      <t xml:space="preserve">Other Postemployment Benefits-Related </t>
    </r>
    <r>
      <rPr>
        <sz val="9"/>
        <color theme="1"/>
        <rFont val="Times New Roman"/>
        <family val="1"/>
      </rPr>
      <t xml:space="preserve">- DHRM other postemployment benefits plan - </t>
    </r>
    <r>
      <rPr>
        <u/>
        <sz val="9"/>
        <color theme="1"/>
        <rFont val="Times New Roman"/>
        <family val="1"/>
      </rPr>
      <t>not</t>
    </r>
    <r>
      <rPr>
        <sz val="9"/>
        <color theme="1"/>
        <rFont val="Times New Roman"/>
        <family val="1"/>
      </rPr>
      <t xml:space="preserve"> with a trust - Pre-Medicare Retiree Healthcare (</t>
    </r>
    <r>
      <rPr>
        <b/>
        <u/>
        <sz val="9"/>
        <color theme="1"/>
        <rFont val="Times New Roman"/>
        <family val="1"/>
      </rPr>
      <t>GASBS No. 75</t>
    </r>
    <r>
      <rPr>
        <sz val="9"/>
        <color theme="1"/>
        <rFont val="Times New Roman"/>
        <family val="1"/>
      </rPr>
      <t>)</t>
    </r>
  </si>
  <si>
    <r>
      <t xml:space="preserve">16) </t>
    </r>
    <r>
      <rPr>
        <b/>
        <sz val="9"/>
        <color theme="1"/>
        <rFont val="Times New Roman"/>
        <family val="1"/>
      </rPr>
      <t xml:space="preserve">Asset Retirement Obligations (ARO) - </t>
    </r>
    <r>
      <rPr>
        <sz val="9"/>
        <color theme="1"/>
        <rFont val="Times New Roman"/>
        <family val="1"/>
      </rPr>
      <t>Amount associated with a legally enforceable liability associated with the retirement of selected capital assets (</t>
    </r>
    <r>
      <rPr>
        <b/>
        <u/>
        <sz val="9"/>
        <color theme="1"/>
        <rFont val="Times New Roman"/>
        <family val="1"/>
      </rPr>
      <t>GASBS No. 83)</t>
    </r>
  </si>
  <si>
    <t>must agree to the total amount in the tab entitled " Tab 1C-Foreign Currency Inv".  If it does not, an "error" message will appear in the</t>
  </si>
  <si>
    <r>
      <t xml:space="preserve">Refer to the </t>
    </r>
    <r>
      <rPr>
        <b/>
        <u/>
        <sz val="8"/>
        <rFont val="Times New Roman"/>
        <family val="1"/>
      </rPr>
      <t xml:space="preserve">GASBS No. 48 </t>
    </r>
    <r>
      <rPr>
        <sz val="8"/>
        <rFont val="Times New Roman"/>
        <family val="1"/>
      </rPr>
      <t>Commonwealth of Virginia Intra-Entity Reporting List available on DOA’s website at www.doa.virginia.gov.</t>
    </r>
  </si>
  <si>
    <r>
      <t xml:space="preserve">Direct Borrowing as defined in </t>
    </r>
    <r>
      <rPr>
        <b/>
        <u/>
        <sz val="8"/>
        <rFont val="Times New Roman"/>
        <family val="1"/>
      </rPr>
      <t>GASB No. 88</t>
    </r>
  </si>
  <si>
    <r>
      <t xml:space="preserve">Note A:   If any of these bonds represent demand bonds and/or callable bonds because of a debt violation that must be reported as a current liability in accordance with GASB Interpretation 1 and/or </t>
    </r>
    <r>
      <rPr>
        <b/>
        <u/>
        <sz val="10"/>
        <rFont val="Times New Roman"/>
        <family val="1"/>
      </rPr>
      <t>GASBS No. 62</t>
    </r>
    <r>
      <rPr>
        <b/>
        <sz val="10"/>
        <rFont val="Times New Roman"/>
        <family val="1"/>
      </rPr>
      <t xml:space="preserve">, report on the applicable "due within one year"  FST line item.    Refer to GASB Interpretation 1 and </t>
    </r>
    <r>
      <rPr>
        <b/>
        <u/>
        <sz val="10"/>
        <rFont val="Times New Roman"/>
        <family val="1"/>
      </rPr>
      <t>GASBS No. 62</t>
    </r>
    <r>
      <rPr>
        <b/>
        <sz val="10"/>
        <rFont val="Times New Roman"/>
        <family val="1"/>
      </rPr>
      <t xml:space="preserve"> for guidance.</t>
    </r>
  </si>
  <si>
    <r>
      <t xml:space="preserve">If </t>
    </r>
    <r>
      <rPr>
        <b/>
        <sz val="10"/>
        <rFont val="Times New Roman"/>
        <family val="1"/>
      </rPr>
      <t>yes</t>
    </r>
    <r>
      <rPr>
        <sz val="10"/>
        <rFont val="Times New Roman"/>
        <family val="1"/>
      </rPr>
      <t xml:space="preserve"> - List the balance of all defeased debt below</t>
    </r>
  </si>
  <si>
    <r>
      <t xml:space="preserve">If </t>
    </r>
    <r>
      <rPr>
        <b/>
        <sz val="10"/>
        <rFont val="Times New Roman"/>
        <family val="1"/>
      </rPr>
      <t>no</t>
    </r>
    <r>
      <rPr>
        <sz val="10"/>
        <rFont val="Times New Roman"/>
        <family val="1"/>
      </rPr>
      <t xml:space="preserve"> - No additional information is required</t>
    </r>
  </si>
  <si>
    <r>
      <t xml:space="preserve">Part 3a)  </t>
    </r>
    <r>
      <rPr>
        <b/>
        <strike/>
        <u/>
        <sz val="10"/>
        <rFont val="Times New Roman"/>
        <family val="1"/>
      </rPr>
      <t>GASBS No. 52</t>
    </r>
    <r>
      <rPr>
        <strike/>
        <sz val="10"/>
        <rFont val="Times New Roman"/>
        <family val="1"/>
      </rPr>
      <t xml:space="preserve">, </t>
    </r>
    <r>
      <rPr>
        <i/>
        <strike/>
        <sz val="10"/>
        <rFont val="Times New Roman"/>
        <family val="1"/>
      </rPr>
      <t xml:space="preserve">Land and Other Real Estate Held as Investments by Endowment, </t>
    </r>
    <r>
      <rPr>
        <strike/>
        <sz val="10"/>
        <rFont val="Times New Roman"/>
        <family val="1"/>
      </rPr>
      <t xml:space="preserve">as amended by </t>
    </r>
    <r>
      <rPr>
        <b/>
        <strike/>
        <u/>
        <sz val="10"/>
        <rFont val="Times New Roman"/>
        <family val="1"/>
      </rPr>
      <t>GASBS No. 72</t>
    </r>
    <r>
      <rPr>
        <strike/>
        <sz val="10"/>
        <rFont val="Times New Roman"/>
        <family val="1"/>
      </rPr>
      <t xml:space="preserve"> </t>
    </r>
  </si>
  <si>
    <r>
      <t>*Note</t>
    </r>
    <r>
      <rPr>
        <strike/>
        <sz val="10"/>
        <rFont val="Times New Roman"/>
        <family val="1"/>
      </rPr>
      <t xml:space="preserve">:  Endowments per </t>
    </r>
    <r>
      <rPr>
        <b/>
        <strike/>
        <u/>
        <sz val="10"/>
        <rFont val="Times New Roman"/>
        <family val="1"/>
      </rPr>
      <t>GASBS No. 52</t>
    </r>
    <r>
      <rPr>
        <b/>
        <strike/>
        <sz val="10"/>
        <rFont val="Times New Roman"/>
        <family val="1"/>
      </rPr>
      <t xml:space="preserve"> </t>
    </r>
    <r>
      <rPr>
        <strike/>
        <sz val="10"/>
        <rFont val="Times New Roman"/>
        <family val="1"/>
      </rPr>
      <t xml:space="preserve">paragraph 2, as amended by </t>
    </r>
    <r>
      <rPr>
        <b/>
        <strike/>
        <u/>
        <sz val="10"/>
        <rFont val="Times New Roman"/>
        <family val="1"/>
      </rPr>
      <t>GASBS No. 72</t>
    </r>
    <r>
      <rPr>
        <strike/>
        <sz val="10"/>
        <rFont val="Times New Roman"/>
        <family val="1"/>
      </rPr>
      <t xml:space="preserve">, apply to permanent &amp; term endowments.   Per paragraph 13 in Appendix B of the statement, permanent and term endowments are defined as follows:  Permanent endowments - The principal is required to be maintained in perpetuity.  Term endowments - The principal is required to be maintained for a stated period of time or until the occurrence of a certain event.  Per paragraph 15 in Appendix B, quasi-endowments are established by a governing board to function like an endowment.  Per </t>
    </r>
    <r>
      <rPr>
        <b/>
        <strike/>
        <u/>
        <sz val="10"/>
        <rFont val="Times New Roman"/>
        <family val="1"/>
      </rPr>
      <t>GASBS No. 72</t>
    </r>
    <r>
      <rPr>
        <strike/>
        <sz val="10"/>
        <rFont val="Times New Roman"/>
        <family val="1"/>
      </rPr>
      <t xml:space="preserve"> paragraph 3, land and other real estate held as investments by quasi-endowments is reported at fair value.   </t>
    </r>
  </si>
  <si>
    <r>
      <t xml:space="preserve">Part 3b)  If </t>
    </r>
    <r>
      <rPr>
        <b/>
        <strike/>
        <sz val="10"/>
        <rFont val="Times New Roman"/>
        <family val="1"/>
      </rPr>
      <t>yes</t>
    </r>
    <r>
      <rPr>
        <strike/>
        <sz val="10"/>
        <rFont val="Times New Roman"/>
        <family val="1"/>
      </rPr>
      <t xml:space="preserve"> to 3a, is land and/or other real estate held as investments by endowments properly reported at fair value</t>
    </r>
  </si>
  <si>
    <r>
      <t xml:space="preserve">               and are the changes in fair value during the year properly reported in accordance with </t>
    </r>
    <r>
      <rPr>
        <b/>
        <strike/>
        <u/>
        <sz val="10"/>
        <rFont val="Times New Roman"/>
        <family val="1"/>
      </rPr>
      <t>GASBS No. 52</t>
    </r>
    <r>
      <rPr>
        <strike/>
        <sz val="10"/>
        <rFont val="Times New Roman"/>
        <family val="1"/>
      </rPr>
      <t xml:space="preserve">, as amended by </t>
    </r>
  </si>
  <si>
    <r>
      <t xml:space="preserve">               </t>
    </r>
    <r>
      <rPr>
        <b/>
        <strike/>
        <u/>
        <sz val="10"/>
        <rFont val="Times New Roman"/>
        <family val="1"/>
      </rPr>
      <t>GASBS No. 72</t>
    </r>
    <r>
      <rPr>
        <strike/>
        <sz val="10"/>
        <rFont val="Times New Roman"/>
        <family val="1"/>
      </rPr>
      <t xml:space="preserve"> paragraphs 64 and 75?  If </t>
    </r>
    <r>
      <rPr>
        <b/>
        <strike/>
        <sz val="10"/>
        <rFont val="Times New Roman"/>
        <family val="1"/>
      </rPr>
      <t>no</t>
    </r>
    <r>
      <rPr>
        <strike/>
        <sz val="10"/>
        <rFont val="Times New Roman"/>
        <family val="1"/>
      </rPr>
      <t>, provide an explanation below.</t>
    </r>
  </si>
  <si>
    <t>Total Cash Equivalent and Investment Not Held With Treasurer and SNAP Individual Portfolio (excluding Nonnegotiable CDs reported in Parts 2.1a and 4.1a)</t>
  </si>
  <si>
    <t xml:space="preserve"> Investments with the Treasurer of Virginia (exclude SNAP)</t>
  </si>
  <si>
    <t>Restricted Investments with the Treasurer of Virginia (exclude SNAP)</t>
  </si>
  <si>
    <t>Restricted for: Net Other Postemployment Benefit-VSDP</t>
  </si>
  <si>
    <t>Interest Rate Ranges: (Fixed)</t>
  </si>
  <si>
    <t>Series</t>
  </si>
  <si>
    <t>Principal Amount</t>
  </si>
  <si>
    <t>Interest Rate Effective June 30</t>
  </si>
  <si>
    <t>Interest Rate: (Variable)</t>
  </si>
  <si>
    <t>Enter Date - Fixed Rate</t>
  </si>
  <si>
    <t>Enter Date - Variable Rate</t>
  </si>
  <si>
    <r>
      <rPr>
        <b/>
        <u/>
        <sz val="9"/>
        <rFont val="Times New Roman"/>
        <family val="1"/>
      </rPr>
      <t>GASBS No. 83</t>
    </r>
    <r>
      <rPr>
        <b/>
        <sz val="9"/>
        <rFont val="Times New Roman"/>
        <family val="1"/>
      </rPr>
      <t xml:space="preserve">, </t>
    </r>
    <r>
      <rPr>
        <i/>
        <sz val="9"/>
        <rFont val="Times New Roman"/>
        <family val="1"/>
      </rPr>
      <t>Certain Asset Retirement Obligations</t>
    </r>
  </si>
  <si>
    <t>18a</t>
  </si>
  <si>
    <t>18b</t>
  </si>
  <si>
    <t>Loans/Mortgage Receivable, net</t>
  </si>
  <si>
    <t>Tab 4  Parts 1 &amp; 8</t>
  </si>
  <si>
    <r>
      <t xml:space="preserve">If </t>
    </r>
    <r>
      <rPr>
        <b/>
        <sz val="9"/>
        <rFont val="Times New Roman"/>
        <family val="1"/>
      </rPr>
      <t>no</t>
    </r>
    <r>
      <rPr>
        <sz val="9"/>
        <rFont val="Times New Roman"/>
        <family val="1"/>
      </rPr>
      <t xml:space="preserve"> - Move on to part 2.</t>
    </r>
  </si>
  <si>
    <r>
      <rPr>
        <b/>
        <u/>
        <sz val="9"/>
        <color theme="1"/>
        <rFont val="Times New Roman"/>
        <family val="1"/>
      </rPr>
      <t xml:space="preserve">GASBS No. 63 </t>
    </r>
    <r>
      <rPr>
        <sz val="9"/>
        <color theme="1"/>
        <rFont val="Times New Roman"/>
        <family val="1"/>
      </rPr>
      <t>provides financial reporting guidance for the presentation of deferred outflows of resources and deferred inflows of resources, which are distinct from assets and liabilities, and their effects on a government's net position. Concepts Statement No. 4 states that the recognition of deferred outflows of resources and deferred inflows of resources should be limited to those instances identified by the GASB in authoritative pronouncements. The following GASB statements require the reporting of deferred outflows of resources and/or deferred inflows of resources:
-</t>
    </r>
    <r>
      <rPr>
        <b/>
        <u/>
        <sz val="9"/>
        <color theme="1"/>
        <rFont val="Times New Roman"/>
        <family val="1"/>
      </rPr>
      <t>GASBS No. 53</t>
    </r>
    <r>
      <rPr>
        <sz val="9"/>
        <color theme="1"/>
        <rFont val="Times New Roman"/>
        <family val="1"/>
      </rPr>
      <t>, Accounting and Financial Reporting for Derivative Instruments,
-</t>
    </r>
    <r>
      <rPr>
        <b/>
        <u/>
        <sz val="9"/>
        <color theme="1"/>
        <rFont val="Times New Roman"/>
        <family val="1"/>
      </rPr>
      <t>GASBS No. 60</t>
    </r>
    <r>
      <rPr>
        <sz val="9"/>
        <color theme="1"/>
        <rFont val="Times New Roman"/>
        <family val="1"/>
      </rPr>
      <t>, Accounting and Financial Reporting for Service Concession Arrangements,
-</t>
    </r>
    <r>
      <rPr>
        <b/>
        <u/>
        <sz val="9"/>
        <color theme="1"/>
        <rFont val="Times New Roman"/>
        <family val="1"/>
      </rPr>
      <t>GASBS No. 65</t>
    </r>
    <r>
      <rPr>
        <sz val="9"/>
        <color theme="1"/>
        <rFont val="Times New Roman"/>
        <family val="1"/>
      </rPr>
      <t>, Items Previously Reported as Assets and Liabilities,
-</t>
    </r>
    <r>
      <rPr>
        <b/>
        <u/>
        <sz val="9"/>
        <color theme="1"/>
        <rFont val="Times New Roman"/>
        <family val="1"/>
      </rPr>
      <t>GASBS No. 68</t>
    </r>
    <r>
      <rPr>
        <sz val="9"/>
        <color theme="1"/>
        <rFont val="Times New Roman"/>
        <family val="1"/>
      </rPr>
      <t xml:space="preserve">, Accounting and Financial Reporting for Pensions--an Amendment for </t>
    </r>
    <r>
      <rPr>
        <b/>
        <u/>
        <sz val="9"/>
        <color theme="1"/>
        <rFont val="Times New Roman"/>
        <family val="1"/>
      </rPr>
      <t>GASBS No. 27</t>
    </r>
    <r>
      <rPr>
        <sz val="9"/>
        <color theme="1"/>
        <rFont val="Times New Roman"/>
        <family val="1"/>
      </rPr>
      <t xml:space="preserve">, as amended by </t>
    </r>
    <r>
      <rPr>
        <b/>
        <u/>
        <sz val="9"/>
        <color theme="1"/>
        <rFont val="Times New Roman"/>
        <family val="1"/>
      </rPr>
      <t>GASBS No. 73</t>
    </r>
    <r>
      <rPr>
        <sz val="9"/>
        <color theme="1"/>
        <rFont val="Times New Roman"/>
        <family val="1"/>
      </rPr>
      <t>,
-</t>
    </r>
    <r>
      <rPr>
        <b/>
        <u/>
        <sz val="9"/>
        <color theme="1"/>
        <rFont val="Times New Roman"/>
        <family val="1"/>
      </rPr>
      <t>GASBS No. 69</t>
    </r>
    <r>
      <rPr>
        <sz val="9"/>
        <color theme="1"/>
        <rFont val="Times New Roman"/>
        <family val="1"/>
      </rPr>
      <t>, Government Combinations and Disposals of Government Operations,
-</t>
    </r>
    <r>
      <rPr>
        <b/>
        <u/>
        <sz val="9"/>
        <color theme="1"/>
        <rFont val="Times New Roman"/>
        <family val="1"/>
      </rPr>
      <t>GASBS No. 75</t>
    </r>
    <r>
      <rPr>
        <sz val="9"/>
        <color theme="1"/>
        <rFont val="Times New Roman"/>
        <family val="1"/>
      </rPr>
      <t>, Accounting and Financial Reporting for Postemployment Benefits Other Than Pensions, 
-</t>
    </r>
    <r>
      <rPr>
        <b/>
        <u/>
        <sz val="9"/>
        <color theme="1"/>
        <rFont val="Times New Roman"/>
        <family val="1"/>
      </rPr>
      <t>GASBS No. 81</t>
    </r>
    <r>
      <rPr>
        <sz val="9"/>
        <color theme="1"/>
        <rFont val="Times New Roman"/>
        <family val="1"/>
      </rPr>
      <t>, Irrevocable Split-Interest Agreements, and
-</t>
    </r>
    <r>
      <rPr>
        <b/>
        <u/>
        <sz val="9"/>
        <color theme="1"/>
        <rFont val="Times New Roman"/>
        <family val="1"/>
      </rPr>
      <t>GASBS No. 83</t>
    </r>
    <r>
      <rPr>
        <sz val="9"/>
        <color theme="1"/>
        <rFont val="Times New Roman"/>
        <family val="1"/>
      </rPr>
      <t xml:space="preserve">, Certain Asset Retirement Obligations.
</t>
    </r>
    <r>
      <rPr>
        <b/>
        <u/>
        <sz val="9"/>
        <color theme="1"/>
        <rFont val="Times New Roman"/>
        <family val="1"/>
      </rPr>
      <t>GASBS No. 63</t>
    </r>
    <r>
      <rPr>
        <sz val="9"/>
        <color theme="1"/>
        <rFont val="Times New Roman"/>
        <family val="1"/>
      </rPr>
      <t xml:space="preserve"> paragraph 13 requires disclosure in the notes to the financial statement for the different types of deferred amounts if amounts are aggregated in the statements and significant components of the total deferred amounts are obscured by aggregation on the face of the statements. In addition, </t>
    </r>
    <r>
      <rPr>
        <b/>
        <u/>
        <sz val="9"/>
        <color theme="1"/>
        <rFont val="Times New Roman"/>
        <family val="1"/>
      </rPr>
      <t>GASBS No. 63</t>
    </r>
    <r>
      <rPr>
        <sz val="9"/>
        <color theme="1"/>
        <rFont val="Times New Roman"/>
        <family val="1"/>
      </rPr>
      <t xml:space="preserve"> paragraph 14 requires a disclosure to explain the effect on net position for a significant difference between the deferred outflows of resources or the deferred inflows of resources and the related asset or liability.
</t>
    </r>
    <r>
      <rPr>
        <b/>
        <u/>
        <sz val="9"/>
        <color theme="1"/>
        <rFont val="Times New Roman"/>
        <family val="1"/>
      </rPr>
      <t>GASBS No. 69</t>
    </r>
    <r>
      <rPr>
        <sz val="9"/>
        <color theme="1"/>
        <rFont val="Times New Roman"/>
        <family val="1"/>
      </rPr>
      <t xml:space="preserve"> requires an item to be reported as deferred outflows of resources relating to government acquisitions.
</t>
    </r>
    <r>
      <rPr>
        <b/>
        <sz val="9"/>
        <color theme="1"/>
        <rFont val="Times New Roman"/>
        <family val="1"/>
      </rPr>
      <t>Note</t>
    </r>
    <r>
      <rPr>
        <sz val="9"/>
        <color theme="1"/>
        <rFont val="Times New Roman"/>
        <family val="1"/>
      </rPr>
      <t>: DOA may request additional information in a separate communication.</t>
    </r>
  </si>
  <si>
    <t>Tab 1D - Recordation</t>
  </si>
  <si>
    <t>Tab 10 - Net Inv in Cap Assets</t>
  </si>
  <si>
    <t>Tab 4  Parts 1 &amp; 7</t>
  </si>
  <si>
    <t>11a)  Intangible Assets as of June 30, 2020:  Does the entity have intangible assets as of June 30, 2020, as defined in GASBS No. 51?  If yes, provide a description of the intangible assets.  Refer to the GASBS No. 51 section in the Authoritative Literature / Guidance for Preparation of GAAP Basis Fund Financial Statement Templates available on DOA's website at www.doa.virginia.gov.</t>
  </si>
  <si>
    <t>11b)  Multi-year licensing agreements:  Does the entity have any multi-year licensing agreements with annual payments that are required to be reported as intangible asset(s) in accordance with GASBS No. 51 as of June 30, 2020?
Note:  Maintenance CONTRACT payments should not be included in this section
For illustrative purposes, assume ten year license agreement and the cost is $100,000 annually. The software should be capitalized for the total cost of $1,000,000. For financial statement reporting, a $1,000,000 long-term liability is also recorded. As the annual payments are made, both the asset is amortized and the liability is reduced by $100,000.   
If yes, provide the following: intangible asset description, month/year the agreement was entered into, period the licensing agreement covers, annual required payment, and intangible asset FST line item and amount.</t>
  </si>
  <si>
    <t>14i) If yes to 14h, do participants have equity interests in the organization?  If yes, provide the entity's equity interest amount as of June 30, 2020.</t>
  </si>
  <si>
    <t xml:space="preserve">Does the entity have any of the items listed below that would  have to be reported in accordance with GASBS No. 69 for FY 2020?
Note: DOA may request additional information in a separate communication. </t>
  </si>
  <si>
    <t>Acquisition Value:  Does the entity have items received during FY 2020 that must to be reported at acquisition value in accordance with GASBS No. 72?                                                                                                                                                                                                                                                                                                                                                                                                           
If yes, provide a general description of these types of items.</t>
  </si>
  <si>
    <t xml:space="preserve">Expenses  for FY 2020:  Does the entity have any items listed below that would have to be reported as expenses in accordance with GASBS No. 65 for FY 2020?  </t>
  </si>
  <si>
    <t xml:space="preserve">Revenues  for FY 2020:  Does the entity have items listed below that would have to be reported as revenue in accordance with GASBS No. 65 for FY 2020?  </t>
  </si>
  <si>
    <t>Total OPEB Liabilities</t>
  </si>
  <si>
    <t>Net OPEB Liabilities</t>
  </si>
  <si>
    <r>
      <t xml:space="preserve">Miscellaneous </t>
    </r>
    <r>
      <rPr>
        <sz val="8"/>
        <rFont val="New Times Roman"/>
      </rPr>
      <t>(only enter a positive amount)</t>
    </r>
  </si>
  <si>
    <r>
      <t xml:space="preserve">  Intangible Assets (</t>
    </r>
    <r>
      <rPr>
        <b/>
        <u/>
        <sz val="8"/>
        <rFont val="New Times Roman"/>
      </rPr>
      <t>GASBS 51</t>
    </r>
    <r>
      <rPr>
        <sz val="8"/>
        <rFont val="New Times Roman"/>
      </rPr>
      <t>)</t>
    </r>
  </si>
  <si>
    <t>Total Other Postemployment Benefits- Due Within One Year</t>
  </si>
  <si>
    <t>Total Other Postemployment Benefits - Due Greater Than One Year</t>
  </si>
  <si>
    <t xml:space="preserve">Amount  </t>
  </si>
  <si>
    <t>GASBS No. 88 - Other</t>
  </si>
  <si>
    <t>GASBS No. 88 - Direct Placements</t>
  </si>
  <si>
    <r>
      <t xml:space="preserve">Note:  Fiduciary activity that must be reported on the Statement of Fiduciary Net Position and Statement of Changes in Fiduciary Net Position pursuant to </t>
    </r>
    <r>
      <rPr>
        <b/>
        <u/>
        <sz val="9"/>
        <color rgb="FFFF0000"/>
        <rFont val="Arial"/>
        <family val="2"/>
      </rPr>
      <t>GASBS No. 84</t>
    </r>
    <r>
      <rPr>
        <b/>
        <sz val="9"/>
        <color rgb="FFFF0000"/>
        <rFont val="Arial"/>
        <family val="2"/>
      </rPr>
      <t xml:space="preserve"> should be excluded from this attachment.</t>
    </r>
  </si>
  <si>
    <t>Part 3:  Installment Purchase Obligations</t>
  </si>
  <si>
    <t>International and Emerging Markets Funds</t>
  </si>
  <si>
    <t>Convertible Bonds and Notes</t>
  </si>
  <si>
    <t>EQUITY - International and Emerging Markets Funds</t>
  </si>
  <si>
    <t>DEBT - International and Emerging Markets Funds</t>
  </si>
  <si>
    <t>DEBT - Convertible Bonds and Notes</t>
  </si>
  <si>
    <t>Corporate Notes and Bonds</t>
  </si>
  <si>
    <t>International and Emerging Market Funds</t>
  </si>
  <si>
    <t>Total Other Postemployment Benefit (OPEB) Liabilities</t>
  </si>
  <si>
    <t>Capital Projects/ Construction/Capital Acquisition</t>
  </si>
  <si>
    <t>Net Other Postemployment Benefits (OPEB) Liabilities - Due Within One Year</t>
  </si>
  <si>
    <t>Total Other Postemployment Benefit (OPEB) Liabilities - Due Within One Year</t>
  </si>
  <si>
    <t>Restricted for: Capital Projects/Construction/Capital Acquisition</t>
  </si>
  <si>
    <r>
      <t xml:space="preserve">b)  Provide the amount in 2.2 above that is collateralized in accordance with the Security for Public Deposits Act (Section 2.2-4400 et seq. of the </t>
    </r>
    <r>
      <rPr>
        <i/>
        <sz val="10"/>
        <rFont val="Times New Roman"/>
        <family val="1"/>
      </rPr>
      <t>Code of Virginia</t>
    </r>
    <r>
      <rPr>
        <sz val="10"/>
        <rFont val="Times New Roman"/>
        <family val="1"/>
      </rPr>
      <t>)</t>
    </r>
  </si>
  <si>
    <r>
      <t xml:space="preserve">    agree to the entity's separately issued financial statements, if applicable?  If </t>
    </r>
    <r>
      <rPr>
        <b/>
        <sz val="10"/>
        <rFont val="Times New Roman"/>
        <family val="1"/>
      </rPr>
      <t>no</t>
    </r>
    <r>
      <rPr>
        <sz val="10"/>
        <rFont val="Times New Roman"/>
        <family val="1"/>
      </rPr>
      <t>, provide an explanation.</t>
    </r>
  </si>
  <si>
    <t xml:space="preserve">Did the Component Unit have short-term debt activity during the year with parties external to the Commonwealth (loans with the Treasurer should be excluded)?  </t>
  </si>
  <si>
    <r>
      <t>Are there any enhanced* retirement benefits being reported that are not from a plan listed below? If yes</t>
    </r>
    <r>
      <rPr>
        <b/>
        <sz val="9"/>
        <rFont val="Times New Roman"/>
        <family val="1"/>
      </rPr>
      <t>, please provide a brief description including the name of the plan.</t>
    </r>
    <r>
      <rPr>
        <sz val="9"/>
        <rFont val="Times New Roman"/>
        <family val="1"/>
      </rPr>
      <t xml:space="preserve">  
</t>
    </r>
    <r>
      <rPr>
        <b/>
        <sz val="9"/>
        <rFont val="Times New Roman"/>
        <family val="1"/>
      </rPr>
      <t>1) VRS and VALORS defined benefit pension plan,</t>
    </r>
    <r>
      <rPr>
        <sz val="9"/>
        <rFont val="Times New Roman"/>
        <family val="1"/>
      </rPr>
      <t xml:space="preserve"> 
</t>
    </r>
    <r>
      <rPr>
        <b/>
        <sz val="9"/>
        <rFont val="Times New Roman"/>
        <family val="1"/>
      </rPr>
      <t>2) the Commonwealth's Health Insurance Credit (HIC) program</t>
    </r>
    <r>
      <rPr>
        <sz val="9"/>
        <rFont val="Times New Roman"/>
        <family val="1"/>
      </rPr>
      <t xml:space="preserve"> where benefits are provided to retired employees based on years of service credit or towards their monthly health insurance premiums, 
</t>
    </r>
    <r>
      <rPr>
        <b/>
        <sz val="9"/>
        <rFont val="Times New Roman"/>
        <family val="1"/>
      </rPr>
      <t xml:space="preserve">3) the Commonwealth's Pre-Medicare Retiree Healthcare program </t>
    </r>
    <r>
      <rPr>
        <sz val="9"/>
        <rFont val="Times New Roman"/>
        <family val="1"/>
      </rPr>
      <t xml:space="preserve">where the Commonwealth provides a group healthcare plan to retired employees who are not yet eligible to participate in Medicare, 
</t>
    </r>
    <r>
      <rPr>
        <b/>
        <sz val="9"/>
        <rFont val="Times New Roman"/>
        <family val="1"/>
      </rPr>
      <t>4) the Commonwealth's Group Life Insurance Program</t>
    </r>
    <r>
      <rPr>
        <sz val="9"/>
        <rFont val="Times New Roman"/>
        <family val="1"/>
      </rPr>
      <t xml:space="preserve"> where the Commonwealth provides postemployment group life insurance benefits to eligible retired employees, or 
</t>
    </r>
    <r>
      <rPr>
        <b/>
        <sz val="9"/>
        <rFont val="Times New Roman"/>
        <family val="1"/>
      </rPr>
      <t>5) the Commonwealth's Disability Insurance Trust Fund program</t>
    </r>
    <r>
      <rPr>
        <sz val="9"/>
        <rFont val="Times New Roman"/>
        <family val="1"/>
      </rPr>
      <t xml:space="preserve"> where the Commonwealth provides disability insurance benefits to eligible retired state employees.
Note:  Enhanced retirement benefits is referring to enhancements to defined benefit pension or other postemployment benefit plans provided to hasten the termination of employees</t>
    </r>
  </si>
  <si>
    <r>
      <t xml:space="preserve">If </t>
    </r>
    <r>
      <rPr>
        <b/>
        <sz val="8"/>
        <rFont val="Times New Roman"/>
        <family val="1"/>
      </rPr>
      <t>yes</t>
    </r>
    <r>
      <rPr>
        <sz val="8"/>
        <rFont val="Times New Roman"/>
        <family val="1"/>
      </rPr>
      <t xml:space="preserve">, provide a description of the event or change in circumstances, month/year it took place, the possible impaired capital assets, and then go to B. If </t>
    </r>
    <r>
      <rPr>
        <b/>
        <sz val="8"/>
        <rFont val="Times New Roman"/>
        <family val="1"/>
      </rPr>
      <t>no</t>
    </r>
    <r>
      <rPr>
        <sz val="8"/>
        <rFont val="Times New Roman"/>
        <family val="1"/>
      </rPr>
      <t xml:space="preserve">, skip the remaining questions on this tab and ensure Part 6 </t>
    </r>
    <r>
      <rPr>
        <b/>
        <u/>
        <sz val="8"/>
        <rFont val="Times New Roman"/>
        <family val="1"/>
      </rPr>
      <t>GASBS No. 42</t>
    </r>
    <r>
      <rPr>
        <sz val="8"/>
        <rFont val="Times New Roman"/>
        <family val="1"/>
      </rPr>
      <t xml:space="preserve"> of </t>
    </r>
    <r>
      <rPr>
        <b/>
        <sz val="8"/>
        <rFont val="Times New Roman"/>
        <family val="1"/>
      </rPr>
      <t>Tab 8 - Miscellaneous</t>
    </r>
    <r>
      <rPr>
        <sz val="8"/>
        <rFont val="Times New Roman"/>
        <family val="1"/>
      </rPr>
      <t xml:space="preserve"> has been completed.</t>
    </r>
  </si>
  <si>
    <t>Impairment loss $ 
(record as a negative)</t>
  </si>
  <si>
    <t>Note c</t>
  </si>
  <si>
    <t>Insurance Recovery $ included in the net impairment (loss)/gain calculation              
(record as a positive &amp; see note a)</t>
  </si>
  <si>
    <t>Net Gain/(Loss) on Impairment</t>
  </si>
  <si>
    <t xml:space="preserve">    Restricted SNAP Individual Portfolio - Cash Equivalents reported in Part 7a above greater than the sum of Less Than 1 year </t>
  </si>
  <si>
    <t>Note A:  If capital assets purchased with bond proceeds subsequently become permanently impaired, ensure the capital assets and debt related to capital asset amounts are revised accordingly.</t>
  </si>
  <si>
    <r>
      <t xml:space="preserve">If </t>
    </r>
    <r>
      <rPr>
        <b/>
        <sz val="9"/>
        <rFont val="Times New Roman"/>
        <family val="1"/>
      </rPr>
      <t>Yes</t>
    </r>
    <r>
      <rPr>
        <sz val="9"/>
        <rFont val="Times New Roman"/>
        <family val="1"/>
      </rPr>
      <t>, please provide the amount and the description.</t>
    </r>
  </si>
  <si>
    <t>Tab 1A, Parts 7a &amp; 10b</t>
  </si>
  <si>
    <t>Net Other Postemployment Benefits - Due Greater Than One Year</t>
  </si>
  <si>
    <t>Virginia College Building Authority</t>
  </si>
  <si>
    <t>DEPARTMENT OF WILDLIFE RESOURCES</t>
  </si>
  <si>
    <t>COMMISSION ON THE MAY 31, 2019 VIRGINIA BEACH MASS SHOOTING</t>
  </si>
  <si>
    <t>COMMISSION TO STUDY SLAVERY AND SUBSEQUENT DE JURE AND DE FACTO RACIAL AND ECONOMIC DISCRIMINATION AGAINST AFRICAN AMERICANS</t>
  </si>
  <si>
    <t>MAINTAIN AFFORDABLE ACCESS</t>
  </si>
  <si>
    <t>Virginia Innovation Partnership Authority</t>
  </si>
  <si>
    <t>VIRGINIA INNOVATION PARTNERSHIP AUTHORITY</t>
  </si>
  <si>
    <t>Due within 1 year Check Figure</t>
  </si>
  <si>
    <t>Southwest Virginia Energy Research &amp; Development Authority</t>
  </si>
  <si>
    <t>Virginia Offshore Wind Development Authority</t>
  </si>
  <si>
    <t>Virginia Solar Energy Development and Energy Storage Authority</t>
  </si>
  <si>
    <t>Virginia Passenger Rail Authority</t>
  </si>
  <si>
    <t>Below are some adjustments made last year.  Consider if similar adjustments are needed this year:</t>
  </si>
  <si>
    <r>
      <rPr>
        <b/>
        <u/>
        <sz val="10"/>
        <rFont val="Times New Roman"/>
        <family val="1"/>
      </rPr>
      <t>Restricted</t>
    </r>
    <r>
      <rPr>
        <sz val="10"/>
        <rFont val="Times New Roman"/>
        <family val="1"/>
      </rPr>
      <t xml:space="preserve"> Nonnegotiable Certificates of Deposit (not held with the Treasurer of VA)</t>
    </r>
  </si>
  <si>
    <t>Total GASBS No. 88 - Other &amp; Direct Placements</t>
  </si>
  <si>
    <r>
      <t>Part 2 - Description of donated inventory amounts:</t>
    </r>
    <r>
      <rPr>
        <sz val="8"/>
        <rFont val="Times New Roman"/>
        <family val="1"/>
      </rPr>
      <t xml:space="preserve"> 
If the entity took physical possession of the donated inventory and distributed or will distribute it during the fiscal year, provide details relating to the fund, original amount, amount remaining, Assistance Listing number if applicable, donor restriction if applicable (e.g., donor restricted to build a capital asset for the entity or to provide vaccines, etc.).  For donated commodities, in federal funds, record the program revenue on the SEFA tab in </t>
    </r>
    <r>
      <rPr>
        <b/>
        <sz val="8"/>
        <rFont val="Times New Roman"/>
        <family val="1"/>
      </rPr>
      <t>Attachment CU5 - Federal Schedules</t>
    </r>
    <r>
      <rPr>
        <sz val="8"/>
        <rFont val="Times New Roman"/>
        <family val="1"/>
      </rPr>
      <t>.</t>
    </r>
  </si>
  <si>
    <t>VIRGINIA PASSENGER RAIL AUTHORITY</t>
  </si>
  <si>
    <r>
      <rPr>
        <b/>
        <u/>
        <sz val="10"/>
        <rFont val="Times New Roman"/>
        <family val="1"/>
      </rPr>
      <t>GASBS No. 40</t>
    </r>
    <r>
      <rPr>
        <sz val="10"/>
        <rFont val="Times New Roman"/>
        <family val="1"/>
      </rPr>
      <t xml:space="preserve"> requires to briefly describe formally adopted investment policy for deposits and/or investments exposed to credit risk, custodial credit risk, concentration of credit risk, and interest rate risk. </t>
    </r>
    <r>
      <rPr>
        <sz val="10"/>
        <rFont val="Times New Roman"/>
        <family val="1"/>
      </rPr>
      <t>If the entity does have cash, cash equivalents, and investments NOT with the Treasurer of Virginia and DOES NOT have a formally adopted investment policy that addresses the aforementioned risks, provide an explanation below.</t>
    </r>
  </si>
  <si>
    <t xml:space="preserve">  Inexhaustible Easements and Works of Art/Historical Treasures</t>
  </si>
  <si>
    <r>
      <t xml:space="preserve">  Intangible Assets with Indefinite Useful Life (</t>
    </r>
    <r>
      <rPr>
        <b/>
        <u/>
        <sz val="8"/>
        <rFont val="New Times Roman"/>
      </rPr>
      <t>GASBS 51</t>
    </r>
    <r>
      <rPr>
        <sz val="8"/>
        <rFont val="New Times Roman"/>
      </rPr>
      <t>)</t>
    </r>
  </si>
  <si>
    <t>For DOA purposes only</t>
  </si>
  <si>
    <r>
      <t>Include unspent proceeds on debt related to capital assets 
(amount should exclude investment earnings</t>
    </r>
    <r>
      <rPr>
        <sz val="10"/>
        <rFont val="Times New Roman"/>
        <family val="1"/>
      </rPr>
      <t>) 
(enter as a positive)</t>
    </r>
  </si>
  <si>
    <r>
      <t xml:space="preserve">    "restricted cash equivalents", "investments", or "restricted investments" line item depending on the length of maturity? If </t>
    </r>
    <r>
      <rPr>
        <b/>
        <sz val="10"/>
        <rFont val="Times New Roman"/>
        <family val="1"/>
      </rPr>
      <t>no</t>
    </r>
    <r>
      <rPr>
        <sz val="10"/>
        <rFont val="Times New Roman"/>
        <family val="1"/>
      </rPr>
      <t>, provide an explanation.</t>
    </r>
  </si>
  <si>
    <r>
      <t xml:space="preserve">Deferred outflows of resources attributable to the acquisition, construction, or improvement of capital assets or debt related to capital assets </t>
    </r>
    <r>
      <rPr>
        <b/>
        <sz val="10"/>
        <rFont val="Times New Roman"/>
        <family val="1"/>
      </rPr>
      <t xml:space="preserve"> - provide description below</t>
    </r>
    <r>
      <rPr>
        <sz val="10"/>
        <rFont val="Times New Roman"/>
        <family val="1"/>
      </rPr>
      <t xml:space="preserve">
(enter as a positive):</t>
    </r>
  </si>
  <si>
    <r>
      <t>Deferred inflows of resources attributable to the acquisition, construction, or improvement of capital assets or debt related to capital assets  -</t>
    </r>
    <r>
      <rPr>
        <b/>
        <sz val="10"/>
        <rFont val="Times New Roman"/>
        <family val="1"/>
      </rPr>
      <t xml:space="preserve"> provide description below</t>
    </r>
    <r>
      <rPr>
        <sz val="10"/>
        <rFont val="Times New Roman"/>
        <family val="1"/>
      </rPr>
      <t xml:space="preserve">
(enter as a negative):</t>
    </r>
  </si>
  <si>
    <t>Other Capital Assets, Net</t>
  </si>
  <si>
    <t>Tab 4  Parts 1 &amp; 9</t>
  </si>
  <si>
    <t>Installment Purchase Obligations - Due Within One Year</t>
  </si>
  <si>
    <t>Trust and Annuity Obligations - Due Within One Year</t>
  </si>
  <si>
    <t>Trust and Annuity Obligations - Due Greater Than One Year</t>
  </si>
  <si>
    <t>Other Capital Assets:</t>
  </si>
  <si>
    <t xml:space="preserve">   Total Other Capital Assets, Net</t>
  </si>
  <si>
    <t>Land</t>
  </si>
  <si>
    <t xml:space="preserve">    Buildings</t>
  </si>
  <si>
    <t xml:space="preserve">    Equipment</t>
  </si>
  <si>
    <t>Other Intangibles - provide description:</t>
  </si>
  <si>
    <t>Reduction in lease asset and liability</t>
  </si>
  <si>
    <t>Additional impairment loss (in excess of the reduction in asset and liability</t>
  </si>
  <si>
    <r>
      <t xml:space="preserve">If </t>
    </r>
    <r>
      <rPr>
        <b/>
        <sz val="10"/>
        <rFont val="Times New Roman"/>
        <family val="1"/>
      </rPr>
      <t>yes</t>
    </r>
    <r>
      <rPr>
        <sz val="10"/>
        <rFont val="Times New Roman"/>
        <family val="1"/>
      </rPr>
      <t xml:space="preserve">, provide explanation below including payment amounts. If </t>
    </r>
    <r>
      <rPr>
        <b/>
        <sz val="10"/>
        <rFont val="Times New Roman"/>
        <family val="1"/>
      </rPr>
      <t>no</t>
    </r>
    <r>
      <rPr>
        <sz val="10"/>
        <rFont val="Times New Roman"/>
        <family val="1"/>
      </rPr>
      <t>, leave the yellow space blank.</t>
    </r>
  </si>
  <si>
    <r>
      <t>Part 4a)</t>
    </r>
    <r>
      <rPr>
        <sz val="10"/>
        <rFont val="Times New Roman"/>
        <family val="1"/>
      </rPr>
      <t>:  Did the Component Unit recognize any variable lease payments that were NOT previously included in the measurement of the lease liability?</t>
    </r>
  </si>
  <si>
    <r>
      <t>Part 4b)</t>
    </r>
    <r>
      <rPr>
        <sz val="10"/>
        <rFont val="Times New Roman"/>
        <family val="1"/>
      </rPr>
      <t>:  Did the Component Unit recognize any other payments for penalties or residual value guarantees that were NOT previously included in the measurement of the lease liability?</t>
    </r>
  </si>
  <si>
    <r>
      <rPr>
        <b/>
        <u/>
        <sz val="9"/>
        <rFont val="Times New Roman"/>
        <family val="1"/>
      </rPr>
      <t>GASBS No. 87</t>
    </r>
    <r>
      <rPr>
        <b/>
        <sz val="9"/>
        <rFont val="Times New Roman"/>
        <family val="1"/>
      </rPr>
      <t xml:space="preserve">, </t>
    </r>
    <r>
      <rPr>
        <i/>
        <sz val="9"/>
        <rFont val="Times New Roman"/>
        <family val="1"/>
      </rPr>
      <t xml:space="preserve">Leases </t>
    </r>
    <r>
      <rPr>
        <sz val="9"/>
        <rFont val="Times New Roman"/>
        <family val="1"/>
      </rPr>
      <t>(</t>
    </r>
    <r>
      <rPr>
        <b/>
        <u/>
        <sz val="9"/>
        <rFont val="Times New Roman"/>
        <family val="1"/>
      </rPr>
      <t>Note</t>
    </r>
    <r>
      <rPr>
        <b/>
        <sz val="9"/>
        <rFont val="Times New Roman"/>
        <family val="1"/>
      </rPr>
      <t>:</t>
    </r>
    <r>
      <rPr>
        <sz val="9"/>
        <rFont val="Times New Roman"/>
        <family val="1"/>
      </rPr>
      <t xml:space="preserve"> DOA may request additional information in a separate communication.)</t>
    </r>
  </si>
  <si>
    <r>
      <t>Total Capital Assets (</t>
    </r>
    <r>
      <rPr>
        <b/>
        <sz val="10"/>
        <rFont val="Times New Roman"/>
        <family val="1"/>
      </rPr>
      <t>Note A</t>
    </r>
    <r>
      <rPr>
        <sz val="10"/>
        <rFont val="Times New Roman"/>
        <family val="1"/>
      </rPr>
      <t>)</t>
    </r>
  </si>
  <si>
    <r>
      <t xml:space="preserve">  Long-Term Lease Liability (</t>
    </r>
    <r>
      <rPr>
        <b/>
        <u/>
        <sz val="10"/>
        <rFont val="Times New Roman"/>
        <family val="1"/>
      </rPr>
      <t>GASBS No. 87</t>
    </r>
    <r>
      <rPr>
        <sz val="10"/>
        <rFont val="Times New Roman"/>
        <family val="1"/>
      </rPr>
      <t>)</t>
    </r>
  </si>
  <si>
    <t>Due to Primary Government (include description)</t>
  </si>
  <si>
    <r>
      <t>Intra-Entity Purchase/Transfer/Donation of Capital Assets or Other Financial Assets</t>
    </r>
    <r>
      <rPr>
        <sz val="9"/>
        <rFont val="Times New Roman"/>
        <family val="1"/>
      </rPr>
      <t xml:space="preserve">:  Does the entity have any capital assets or other financial assets that were purchased, transferred, and/or donated to the entity that would be considered an intra-entity transaction as defined by </t>
    </r>
    <r>
      <rPr>
        <b/>
        <u/>
        <sz val="9"/>
        <rFont val="Times New Roman"/>
        <family val="1"/>
      </rPr>
      <t>GASBS No. 48</t>
    </r>
    <r>
      <rPr>
        <sz val="9"/>
        <rFont val="Times New Roman"/>
        <family val="1"/>
      </rPr>
      <t xml:space="preserve"> (within the financial reporting entity*) not already provided in Part 9a?  If </t>
    </r>
    <r>
      <rPr>
        <b/>
        <sz val="9"/>
        <rFont val="Times New Roman"/>
        <family val="1"/>
      </rPr>
      <t>yes</t>
    </r>
    <r>
      <rPr>
        <sz val="9"/>
        <rFont val="Times New Roman"/>
        <family val="1"/>
      </rPr>
      <t xml:space="preserve">, provide a description of these transactions and identify the entity that provided the capital assets or other financial assets in the yellow box below.
*Note:  </t>
    </r>
    <r>
      <rPr>
        <b/>
        <u/>
        <sz val="9"/>
        <rFont val="Times New Roman"/>
        <family val="1"/>
      </rPr>
      <t>GASBS No. 48</t>
    </r>
    <r>
      <rPr>
        <sz val="9"/>
        <rFont val="Times New Roman"/>
        <family val="1"/>
      </rPr>
      <t xml:space="preserve"> includes guidance on how to report intra-entity transfers of assets and future revenues (including purchases/donations/transfers) within the same financial reporting entity.  Since the entity is part of the Commonwealth's financial reporting entity, the definition of "intra-entity" for purposes of implementing </t>
    </r>
    <r>
      <rPr>
        <b/>
        <u/>
        <sz val="9"/>
        <rFont val="Times New Roman"/>
        <family val="1"/>
      </rPr>
      <t>GASBS No. 48</t>
    </r>
    <r>
      <rPr>
        <sz val="9"/>
        <rFont val="Times New Roman"/>
        <family val="1"/>
      </rPr>
      <t xml:space="preserve"> is not only the entity but also other entities reported in the Commonwealth's Annual Comprehensive Financial Report.  For the </t>
    </r>
    <r>
      <rPr>
        <b/>
        <u/>
        <sz val="9"/>
        <rFont val="Times New Roman"/>
        <family val="1"/>
      </rPr>
      <t>GASBS No. 48</t>
    </r>
    <r>
      <rPr>
        <sz val="9"/>
        <rFont val="Times New Roman"/>
        <family val="1"/>
      </rPr>
      <t xml:space="preserve"> Commonwealth of Virginia Intra-Entity Reporting List, go to DOA's website and click on the "Financial Statement Directives" link.</t>
    </r>
  </si>
  <si>
    <t>excess of the reduction of the asset and liability line item.</t>
  </si>
  <si>
    <t>VIRGINIA CANNABIS CONTROL AUTHORITY</t>
  </si>
  <si>
    <t>JUVENILE AND DOMESTIC RELATIONS DISTRICT COURTS</t>
  </si>
  <si>
    <t>SECRETARY OF LABOR</t>
  </si>
  <si>
    <t>DEPARTMENT OF ENERGY</t>
  </si>
  <si>
    <t>BEHAVIORAL HEALTH COMMISSION</t>
  </si>
  <si>
    <t>PULLER VETERANS CARE CENTER</t>
  </si>
  <si>
    <t>JONES AND CABACOY VETERANS CARE CENTER</t>
  </si>
  <si>
    <t xml:space="preserve">US Dollar </t>
  </si>
  <si>
    <t>Chilean Peso</t>
  </si>
  <si>
    <t>Tab 5:  Commitment Obligation Disclosures</t>
  </si>
  <si>
    <t>Other Right-to-Use Intangibles</t>
  </si>
  <si>
    <r>
      <t xml:space="preserve">6) </t>
    </r>
    <r>
      <rPr>
        <b/>
        <sz val="9"/>
        <rFont val="Times New Roman"/>
        <family val="1"/>
      </rPr>
      <t xml:space="preserve">Sale-Leaseback Transactions </t>
    </r>
    <r>
      <rPr>
        <sz val="9"/>
        <rFont val="Times New Roman"/>
        <family val="1"/>
      </rPr>
      <t>- Loss on the sale of property that is accompanied by a leaseback of all or any part of the property for all or part of its remaining economic life (</t>
    </r>
    <r>
      <rPr>
        <b/>
        <u/>
        <sz val="9"/>
        <rFont val="Times New Roman"/>
        <family val="1"/>
      </rPr>
      <t>GASBS No. 87</t>
    </r>
    <r>
      <rPr>
        <sz val="9"/>
        <rFont val="Times New Roman"/>
        <family val="1"/>
      </rPr>
      <t xml:space="preserve"> paragraphs 82-86)</t>
    </r>
  </si>
  <si>
    <t>Russian Ruble</t>
  </si>
  <si>
    <t>Chinese RMB</t>
  </si>
  <si>
    <r>
      <t xml:space="preserve">If the component unit participates in a retirement plan </t>
    </r>
    <r>
      <rPr>
        <b/>
        <sz val="10"/>
        <rFont val="Times New Roman"/>
        <family val="1"/>
      </rPr>
      <t>other</t>
    </r>
    <r>
      <rPr>
        <sz val="10"/>
        <rFont val="Times New Roman"/>
        <family val="1"/>
      </rPr>
      <t xml:space="preserve"> than the Virginia Retirement System (VRS) or a deferred compensation plan other than the Commonwealth's please describe below and provide all applicable footnote information.
Ensure the information provided is in accordance with </t>
    </r>
    <r>
      <rPr>
        <b/>
        <u/>
        <sz val="10"/>
        <rFont val="Times New Roman"/>
        <family val="1"/>
      </rPr>
      <t>GASBS Nos. 50, 67, 68 and 73</t>
    </r>
    <r>
      <rPr>
        <sz val="10"/>
        <rFont val="Times New Roman"/>
        <family val="1"/>
      </rPr>
      <t xml:space="preserve"> as applicable.  
</t>
    </r>
    <r>
      <rPr>
        <b/>
        <u/>
        <sz val="10"/>
        <rFont val="Times New Roman"/>
        <family val="1"/>
      </rPr>
      <t>Note</t>
    </r>
    <r>
      <rPr>
        <b/>
        <sz val="10"/>
        <rFont val="Times New Roman"/>
        <family val="1"/>
      </rPr>
      <t>:</t>
    </r>
    <r>
      <rPr>
        <sz val="10"/>
        <rFont val="Times New Roman"/>
        <family val="1"/>
      </rPr>
      <t xml:space="preserve"> DOA may need to contact the component unit to receive additional information.</t>
    </r>
  </si>
  <si>
    <r>
      <t xml:space="preserve">If the component unit participates in other postemployment benefits not managed by the Commonwealth please describe below and provide all applicable footnote information.  Ensure the information provided is in accordance with </t>
    </r>
    <r>
      <rPr>
        <b/>
        <u/>
        <sz val="10"/>
        <rFont val="Times New Roman"/>
        <family val="1"/>
      </rPr>
      <t xml:space="preserve">GASBS Nos. 74 &amp; 75 </t>
    </r>
    <r>
      <rPr>
        <sz val="10"/>
        <rFont val="Times New Roman"/>
        <family val="1"/>
      </rPr>
      <t xml:space="preserve">as applicable.
</t>
    </r>
    <r>
      <rPr>
        <b/>
        <u/>
        <sz val="10"/>
        <rFont val="Times New Roman"/>
        <family val="1"/>
      </rPr>
      <t>Note</t>
    </r>
    <r>
      <rPr>
        <b/>
        <sz val="10"/>
        <rFont val="Times New Roman"/>
        <family val="1"/>
      </rPr>
      <t>:</t>
    </r>
    <r>
      <rPr>
        <sz val="10"/>
        <rFont val="Times New Roman"/>
        <family val="1"/>
      </rPr>
      <t xml:space="preserve"> DOA may need to contact the component unit to receive additional information.  The State Postemployment Benefits are the 1) defined benefit pension plan, 2) the Commonwealth's Health Insurance Credit (HIC) program where benefits are provided to retired employees based on years of service credit or towards their monthly health insurance premiums, 3) the Commonwealth's Pre-Medicare Retiree Healthcare program where the Commonwealth provides a group healthcare plan to retired employees who are not yet eligible to participate in Medicare, 4) the Commonwealth's Group Life Insurance Program where the Commonwealth provides postemployment group life insurance benefits to eligible retired employees, or 5) the Commonwealth's Disability Insurance Trust Fund program where the Commonwealth provides disability insurance benefits to eligible retired state employees.</t>
    </r>
  </si>
  <si>
    <r>
      <t xml:space="preserve">3) </t>
    </r>
    <r>
      <rPr>
        <b/>
        <sz val="9"/>
        <rFont val="Times New Roman"/>
        <family val="1"/>
      </rPr>
      <t xml:space="preserve">Refundings of Debt </t>
    </r>
    <r>
      <rPr>
        <sz val="9"/>
        <rFont val="Times New Roman"/>
        <family val="1"/>
      </rPr>
      <t>- A change in provisions of a lease resulting from a refunding, including an advance refunding, of tax-exempt debt by the lessor who then passes through the effect to the lessee and the lease continues to be classified as a lease by the lessee which increases the lessee's lease obligation 
(</t>
    </r>
    <r>
      <rPr>
        <b/>
        <u/>
        <sz val="9"/>
        <rFont val="Times New Roman"/>
        <family val="1"/>
      </rPr>
      <t>GASBS No. 87</t>
    </r>
    <r>
      <rPr>
        <sz val="9"/>
        <rFont val="Times New Roman"/>
        <family val="1"/>
      </rPr>
      <t xml:space="preserve"> paragraph 74)</t>
    </r>
  </si>
  <si>
    <t xml:space="preserve">  Inexhaustible Works of Art/Historical Treasures</t>
  </si>
  <si>
    <r>
      <t xml:space="preserve"> Right-to-Use Intangible Assets (</t>
    </r>
    <r>
      <rPr>
        <b/>
        <u/>
        <sz val="8"/>
        <rFont val="Times New Roman"/>
        <family val="1"/>
      </rPr>
      <t>GASBS No. 87</t>
    </r>
    <r>
      <rPr>
        <sz val="8"/>
        <rFont val="Times New Roman"/>
        <family val="1"/>
      </rPr>
      <t>)</t>
    </r>
  </si>
  <si>
    <t xml:space="preserve">   Total Other Capital Assets</t>
  </si>
  <si>
    <t xml:space="preserve">Less Accumulated Amortization for: </t>
  </si>
  <si>
    <t>Total Accumulated Depreciation</t>
  </si>
  <si>
    <t xml:space="preserve">       Total Accumulated Depreciation and Amortization</t>
  </si>
  <si>
    <t xml:space="preserve">       Total Accumulated Amortization</t>
  </si>
  <si>
    <t xml:space="preserve">   Inexhaustible Works of Art/Historical Treasures</t>
  </si>
  <si>
    <t>Tax Supported (Paid from State Appropriations)</t>
  </si>
  <si>
    <t>Non-tax supported</t>
  </si>
  <si>
    <r>
      <t>Sales and Pledges of Receivables and Future Revenues</t>
    </r>
    <r>
      <rPr>
        <sz val="9"/>
        <rFont val="Times New Roman"/>
        <family val="1"/>
      </rPr>
      <t xml:space="preserve">:  Does the entity have any of the following types of transactions described in </t>
    </r>
    <r>
      <rPr>
        <b/>
        <u/>
        <sz val="9"/>
        <rFont val="Times New Roman"/>
        <family val="1"/>
      </rPr>
      <t>GASBS No. 48</t>
    </r>
    <r>
      <rPr>
        <sz val="9"/>
        <rFont val="Times New Roman"/>
        <family val="1"/>
      </rPr>
      <t xml:space="preserve"> either as a transferor or transferee:  collateralized borrowings (pledging) and/or sales of receivables and/or future revenues?</t>
    </r>
  </si>
  <si>
    <r>
      <t xml:space="preserve">Complete the following questions regarding </t>
    </r>
    <r>
      <rPr>
        <b/>
        <u/>
        <sz val="9"/>
        <rFont val="Times New Roman"/>
        <family val="1"/>
      </rPr>
      <t>GASBS No. 88</t>
    </r>
    <r>
      <rPr>
        <sz val="9"/>
        <rFont val="Times New Roman"/>
        <family val="1"/>
      </rPr>
      <t xml:space="preserve"> disclosures for the entity.  If not enough space is available, provide information requested in a separate document and submit along with the Attachment CU4 submission.  DOA may request additional information in a separate communication.
Note:  CU4 debt line items that are reported on the applicable "due within one year" and "due greater than one year" line items can be combined rather than listed separately
</t>
    </r>
  </si>
  <si>
    <r>
      <t xml:space="preserve">If </t>
    </r>
    <r>
      <rPr>
        <b/>
        <sz val="9"/>
        <rFont val="Times New Roman"/>
        <family val="1"/>
      </rPr>
      <t>yes</t>
    </r>
    <r>
      <rPr>
        <sz val="9"/>
        <rFont val="Times New Roman"/>
        <family val="1"/>
      </rPr>
      <t xml:space="preserve"> to items 1,2, and/ or 3, provide the CU4 debt line item and debt line item amount (net of eliminations), as well as the following:
Terms specified in the debt agreements related to significant (1) events of default with finance-related consequences, (2) termination-events with finance-related consequences, and/or (3) subjective acceleration clauses.</t>
    </r>
  </si>
  <si>
    <r>
      <t xml:space="preserve">Is the hedged item a bonds payable that is reported on the Attachment CU4  - TAB 4 - Long-term Liabilities Part 2?  Go to DOA's website and complete supplemental item 1 to provide additional information on the hedged debt including the net cash flows for future years as required by </t>
    </r>
    <r>
      <rPr>
        <b/>
        <u/>
        <sz val="9"/>
        <rFont val="Times New Roman"/>
        <family val="1"/>
      </rPr>
      <t>GASBS No. 53</t>
    </r>
    <r>
      <rPr>
        <sz val="9"/>
        <rFont val="Times New Roman"/>
        <family val="1"/>
      </rPr>
      <t xml:space="preserve"> paragraph 74.</t>
    </r>
  </si>
  <si>
    <r>
      <t xml:space="preserve">If </t>
    </r>
    <r>
      <rPr>
        <b/>
        <sz val="8"/>
        <rFont val="Times New Roman"/>
        <family val="1"/>
      </rPr>
      <t>yes</t>
    </r>
    <r>
      <rPr>
        <sz val="8"/>
        <rFont val="Times New Roman"/>
        <family val="1"/>
      </rPr>
      <t xml:space="preserve"> </t>
    </r>
    <r>
      <rPr>
        <b/>
        <sz val="8"/>
        <rFont val="Times New Roman"/>
        <family val="1"/>
      </rPr>
      <t xml:space="preserve">for a </t>
    </r>
    <r>
      <rPr>
        <b/>
        <u/>
        <sz val="8"/>
        <rFont val="Times New Roman"/>
        <family val="1"/>
      </rPr>
      <t>GASBS No. 42</t>
    </r>
    <r>
      <rPr>
        <b/>
        <sz val="8"/>
        <rFont val="Times New Roman"/>
        <family val="1"/>
      </rPr>
      <t xml:space="preserve"> lease impairment, </t>
    </r>
    <r>
      <rPr>
        <sz val="8"/>
        <rFont val="Times New Roman"/>
        <family val="1"/>
      </rPr>
      <t xml:space="preserve">provide the line item and amount of the impairment loss that is reported on the CU4 and then go to </t>
    </r>
    <r>
      <rPr>
        <b/>
        <sz val="8"/>
        <rFont val="Times New Roman"/>
        <family val="1"/>
      </rPr>
      <t>Part 2</t>
    </r>
    <r>
      <rPr>
        <sz val="8"/>
        <rFont val="Times New Roman"/>
        <family val="1"/>
      </rPr>
      <t>.</t>
    </r>
  </si>
  <si>
    <t>Financial Statement Template (CU4)  line item:</t>
  </si>
  <si>
    <t xml:space="preserve">  Intangible Assets with Indefinite Useful Life</t>
  </si>
  <si>
    <t xml:space="preserve">  Nondepreciable:</t>
  </si>
  <si>
    <r>
      <t xml:space="preserve">  Intangible Assets with Indefinite Useful Life
   (</t>
    </r>
    <r>
      <rPr>
        <b/>
        <u/>
        <sz val="8"/>
        <rFont val="Times New Roman"/>
        <family val="1"/>
      </rPr>
      <t>GASBS No. 51</t>
    </r>
    <r>
      <rPr>
        <sz val="8"/>
        <rFont val="Times New Roman"/>
        <family val="1"/>
      </rPr>
      <t>) - provide description:</t>
    </r>
  </si>
  <si>
    <t>Total of 
Credit Risk 
(Columns F-O) 
should equal 
Interest Risk 
(Columns R-U)</t>
  </si>
  <si>
    <t>HAMPTON ROADS TRANSPORTATION ACCOUNTABILITY COMMISSION</t>
  </si>
  <si>
    <t>TOURIST TRAIN DEVELOPMENT AUTHORITY</t>
  </si>
  <si>
    <t>VIRGINIA COALFIELDS EXPRESSWAY AUTHORITY</t>
  </si>
  <si>
    <t>VIRGINIA PUBLIC BUILDING AUTHORITY</t>
  </si>
  <si>
    <r>
      <t xml:space="preserve">  Right-to-Use Intangible Assets (</t>
    </r>
    <r>
      <rPr>
        <b/>
        <u/>
        <sz val="8"/>
        <rFont val="Times New Roman"/>
        <family val="1"/>
      </rPr>
      <t>GASBS No. 87)</t>
    </r>
  </si>
  <si>
    <r>
      <t xml:space="preserve">Does the entity have any pledged collateral for any </t>
    </r>
    <r>
      <rPr>
        <b/>
        <u/>
        <sz val="9"/>
        <rFont val="Times New Roman"/>
        <family val="1"/>
      </rPr>
      <t>GASBS No. 87</t>
    </r>
    <r>
      <rPr>
        <sz val="9"/>
        <rFont val="Times New Roman"/>
        <family val="1"/>
      </rPr>
      <t xml:space="preserve"> lease other than the underlying leased asset?
If </t>
    </r>
    <r>
      <rPr>
        <b/>
        <sz val="9"/>
        <rFont val="Times New Roman"/>
        <family val="1"/>
      </rPr>
      <t>yes</t>
    </r>
    <r>
      <rPr>
        <sz val="9"/>
        <rFont val="Times New Roman"/>
        <family val="1"/>
      </rPr>
      <t>, provide the description of the collateral.</t>
    </r>
  </si>
  <si>
    <r>
      <t xml:space="preserve">         If </t>
    </r>
    <r>
      <rPr>
        <b/>
        <sz val="8"/>
        <rFont val="Times New Roman"/>
        <family val="1"/>
      </rPr>
      <t>yes</t>
    </r>
    <r>
      <rPr>
        <sz val="8"/>
        <rFont val="Times New Roman"/>
        <family val="1"/>
      </rPr>
      <t xml:space="preserve">, go to C.  If </t>
    </r>
    <r>
      <rPr>
        <b/>
        <sz val="8"/>
        <rFont val="Times New Roman"/>
        <family val="1"/>
      </rPr>
      <t>no</t>
    </r>
    <r>
      <rPr>
        <sz val="8"/>
        <rFont val="Times New Roman"/>
        <family val="1"/>
      </rPr>
      <t xml:space="preserve">, go to Part 2 and ensure Part 6 </t>
    </r>
    <r>
      <rPr>
        <b/>
        <u/>
        <sz val="8"/>
        <rFont val="Times New Roman"/>
        <family val="1"/>
      </rPr>
      <t>GASBS No. 42</t>
    </r>
    <r>
      <rPr>
        <sz val="8"/>
        <rFont val="Times New Roman"/>
        <family val="1"/>
      </rPr>
      <t xml:space="preserve"> of </t>
    </r>
    <r>
      <rPr>
        <b/>
        <sz val="8"/>
        <rFont val="Times New Roman"/>
        <family val="1"/>
      </rPr>
      <t>Tab 8 - Miscellaneous</t>
    </r>
    <r>
      <rPr>
        <sz val="8"/>
        <rFont val="Times New Roman"/>
        <family val="1"/>
      </rPr>
      <t xml:space="preserve"> has been completed.</t>
    </r>
  </si>
  <si>
    <t>VIRGINIA PUBLIC SCHOOL AUTHORITY</t>
  </si>
  <si>
    <t xml:space="preserve"> Provide the estimated useful lives of capital assets:</t>
  </si>
  <si>
    <t xml:space="preserve">Peruvian Sol </t>
  </si>
  <si>
    <t xml:space="preserve">South African Rand </t>
  </si>
  <si>
    <r>
      <t>LT Subscription-based Information Technology Arrangements Liabilities (</t>
    </r>
    <r>
      <rPr>
        <b/>
        <u/>
        <sz val="9"/>
        <color rgb="FF000000"/>
        <rFont val="Times New Roman"/>
        <family val="1"/>
      </rPr>
      <t>GASBS No. 96</t>
    </r>
    <r>
      <rPr>
        <sz val="9"/>
        <color indexed="8"/>
        <rFont val="Times New Roman"/>
        <family val="1"/>
      </rPr>
      <t>) - Due Within One Year</t>
    </r>
  </si>
  <si>
    <t>Net Other Postemployment Benefit (OPEB) Liabilities - Due Within One Year</t>
  </si>
  <si>
    <t>Net Other Postemployment Benefits (OPEB) Liabilities - Due Greater Than One Year</t>
  </si>
  <si>
    <t>Total Other Postemployment Benefits (OPEB) Liabilities - Due Greater Than One Year</t>
  </si>
  <si>
    <t>Long-Term Lease Liability (GASB No. 87) - Due Within One Year</t>
  </si>
  <si>
    <t>Financed Purchase Obligations (GASB No. 87) - Due Within One Year</t>
  </si>
  <si>
    <t>LT SBITA Liabilities (GASBS No. 96) - Due Within One Year</t>
  </si>
  <si>
    <t>NEW for FY23</t>
  </si>
  <si>
    <t>Long-Term Lease Liability (GASB No. 87) - Due Greater Than One Year</t>
  </si>
  <si>
    <t>LT SBITA Liabilities (GASBS No. 96) - Due Greater Than 1 Yr</t>
  </si>
  <si>
    <t>Check figure - Assets = Liabilities + NP</t>
  </si>
  <si>
    <t>Check figure - NP from Stmt of Activities = NP from SNP</t>
  </si>
  <si>
    <r>
      <t xml:space="preserve">  Right-to-Use Intangible Assets (</t>
    </r>
    <r>
      <rPr>
        <b/>
        <u/>
        <sz val="8"/>
        <rFont val="New Times Roman"/>
      </rPr>
      <t>GASBS 87</t>
    </r>
    <r>
      <rPr>
        <sz val="8"/>
        <rFont val="New Times Roman"/>
      </rPr>
      <t>)</t>
    </r>
  </si>
  <si>
    <r>
      <t xml:space="preserve">  Right-to-Use Intangible Subscriptions Assets (</t>
    </r>
    <r>
      <rPr>
        <b/>
        <u/>
        <sz val="8"/>
        <rFont val="New Times Roman"/>
      </rPr>
      <t>GASBS 96</t>
    </r>
    <r>
      <rPr>
        <sz val="8"/>
        <rFont val="New Times Roman"/>
      </rPr>
      <t>)</t>
    </r>
  </si>
  <si>
    <t>Less Accumulated Amortization for:</t>
  </si>
  <si>
    <t>Check figure - Total Capital Assets, Net = Total Capital Assets, Net from SNP</t>
  </si>
  <si>
    <t>LT SBITA Liabilities (GASBS No. 96)</t>
  </si>
  <si>
    <t>New for FY2023</t>
  </si>
  <si>
    <t>Check figure - LT Liabilities = LT Liabilities from SNP</t>
  </si>
  <si>
    <r>
      <t>Right-to-Use SBITA Intangible Assets (</t>
    </r>
    <r>
      <rPr>
        <b/>
        <u/>
        <sz val="8"/>
        <rFont val="Times New Roman"/>
        <family val="1"/>
      </rPr>
      <t>GASBS No. 96)</t>
    </r>
  </si>
  <si>
    <r>
      <t xml:space="preserve"> Right-to-Use SBITA Intangible Assets (</t>
    </r>
    <r>
      <rPr>
        <b/>
        <u/>
        <sz val="8"/>
        <rFont val="Times New Roman"/>
        <family val="1"/>
      </rPr>
      <t>GASBS No. 96)</t>
    </r>
  </si>
  <si>
    <r>
      <t xml:space="preserve">  Right-to-Use Intangible Assets (</t>
    </r>
    <r>
      <rPr>
        <b/>
        <u/>
        <sz val="8"/>
        <rFont val="Times New Roman"/>
        <family val="1"/>
      </rPr>
      <t>GASBS No. 87</t>
    </r>
    <r>
      <rPr>
        <sz val="8"/>
        <rFont val="Times New Roman"/>
        <family val="1"/>
      </rPr>
      <t>)</t>
    </r>
  </si>
  <si>
    <t xml:space="preserve">   Total Accumulated Depreciation and Amortization</t>
  </si>
  <si>
    <r>
      <t>Right-to-Use SBITA Intangible Assets (</t>
    </r>
    <r>
      <rPr>
        <b/>
        <u/>
        <sz val="8"/>
        <rFont val="Times New Roman"/>
        <family val="1"/>
      </rPr>
      <t>GASBS No. 96</t>
    </r>
    <r>
      <rPr>
        <sz val="8"/>
        <rFont val="Times New Roman"/>
        <family val="1"/>
      </rPr>
      <t>)</t>
    </r>
  </si>
  <si>
    <r>
      <t xml:space="preserve">A) </t>
    </r>
    <r>
      <rPr>
        <b/>
        <sz val="8"/>
        <rFont val="Times New Roman"/>
        <family val="1"/>
      </rPr>
      <t>Possible Impairment of Capital Assets</t>
    </r>
    <r>
      <rPr>
        <sz val="8"/>
        <rFont val="Times New Roman"/>
        <family val="1"/>
      </rPr>
      <t>:  As of June 30, did the entity have an event or change in circumstances that may indicate</t>
    </r>
  </si>
  <si>
    <t>Reduction in subscription asset and liability</t>
  </si>
  <si>
    <t>Tab 4  Parts 1 &amp; 10</t>
  </si>
  <si>
    <t>Long-term Lease Liabilities</t>
  </si>
  <si>
    <t xml:space="preserve">Installment Purchase Obligations </t>
  </si>
  <si>
    <t xml:space="preserve">Financed Purchase Obligations </t>
  </si>
  <si>
    <t xml:space="preserve">Notes Payable </t>
  </si>
  <si>
    <t xml:space="preserve">Pension Liability </t>
  </si>
  <si>
    <r>
      <t xml:space="preserve">  Long-term SBITA Liabilities (</t>
    </r>
    <r>
      <rPr>
        <b/>
        <u/>
        <sz val="10"/>
        <rFont val="Times New Roman"/>
        <family val="1"/>
      </rPr>
      <t>GASBS No. 96</t>
    </r>
    <r>
      <rPr>
        <sz val="10"/>
        <rFont val="Times New Roman"/>
        <family val="1"/>
      </rPr>
      <t>)</t>
    </r>
  </si>
  <si>
    <r>
      <t>LT Subscription-based Information Technology Arrangements Liabilities (</t>
    </r>
    <r>
      <rPr>
        <b/>
        <u/>
        <sz val="9"/>
        <rFont val="Times New Roman"/>
        <family val="1"/>
      </rPr>
      <t>GASBS No. 96</t>
    </r>
    <r>
      <rPr>
        <sz val="9"/>
        <rFont val="Times New Roman"/>
        <family val="1"/>
      </rPr>
      <t>) - Due Within One Year</t>
    </r>
  </si>
  <si>
    <r>
      <t xml:space="preserve">17)  </t>
    </r>
    <r>
      <rPr>
        <b/>
        <sz val="9"/>
        <rFont val="Times New Roman"/>
        <family val="1"/>
      </rPr>
      <t>Leases</t>
    </r>
    <r>
      <rPr>
        <sz val="9"/>
        <rFont val="Times New Roman"/>
        <family val="1"/>
      </rPr>
      <t xml:space="preserve"> </t>
    </r>
    <r>
      <rPr>
        <sz val="11"/>
        <rFont val="Times New Roman"/>
        <family val="1"/>
      </rPr>
      <t xml:space="preserve">- </t>
    </r>
    <r>
      <rPr>
        <sz val="9"/>
        <rFont val="Times New Roman"/>
        <family val="1"/>
      </rPr>
      <t>Amounts associated with lease transactions (</t>
    </r>
    <r>
      <rPr>
        <b/>
        <u/>
        <sz val="9"/>
        <rFont val="Times New Roman"/>
        <family val="1"/>
      </rPr>
      <t>GASBS No. 87</t>
    </r>
    <r>
      <rPr>
        <sz val="9"/>
        <rFont val="Times New Roman"/>
        <family val="1"/>
      </rPr>
      <t>)</t>
    </r>
  </si>
  <si>
    <r>
      <rPr>
        <b/>
        <u/>
        <sz val="9"/>
        <rFont val="Times New Roman"/>
        <family val="1"/>
      </rPr>
      <t>GASBS No. 70</t>
    </r>
    <r>
      <rPr>
        <sz val="9"/>
        <rFont val="Times New Roman"/>
        <family val="1"/>
      </rPr>
      <t xml:space="preserve">, </t>
    </r>
    <r>
      <rPr>
        <i/>
        <sz val="9"/>
        <rFont val="Times New Roman"/>
        <family val="1"/>
      </rPr>
      <t>Accounting and Financial Reporting for Nonexchange Financial Guarantees</t>
    </r>
    <r>
      <rPr>
        <sz val="9"/>
        <rFont val="Times New Roman"/>
        <family val="1"/>
      </rPr>
      <t xml:space="preserve">
</t>
    </r>
    <r>
      <rPr>
        <b/>
        <sz val="9"/>
        <rFont val="Times New Roman"/>
        <family val="1"/>
      </rPr>
      <t>Note</t>
    </r>
    <r>
      <rPr>
        <sz val="9"/>
        <rFont val="Times New Roman"/>
        <family val="1"/>
      </rPr>
      <t xml:space="preserve">: </t>
    </r>
    <r>
      <rPr>
        <b/>
        <u/>
        <sz val="9"/>
        <rFont val="Times New Roman"/>
        <family val="1"/>
      </rPr>
      <t>GASBS No. 91</t>
    </r>
    <r>
      <rPr>
        <sz val="9"/>
        <rFont val="Times New Roman"/>
        <family val="1"/>
      </rPr>
      <t xml:space="preserve">, </t>
    </r>
    <r>
      <rPr>
        <i/>
        <sz val="9"/>
        <rFont val="Times New Roman"/>
        <family val="1"/>
      </rPr>
      <t>Conduit Debt Obligations</t>
    </r>
    <r>
      <rPr>
        <sz val="9"/>
        <rFont val="Times New Roman"/>
        <family val="1"/>
      </rPr>
      <t xml:space="preserve">, amends </t>
    </r>
    <r>
      <rPr>
        <b/>
        <u/>
        <sz val="9"/>
        <rFont val="Times New Roman"/>
        <family val="1"/>
      </rPr>
      <t>GASBS No. 70</t>
    </r>
    <r>
      <rPr>
        <sz val="9"/>
        <rFont val="Times New Roman"/>
        <family val="1"/>
      </rPr>
      <t xml:space="preserve">.  The questions below are for nonexchange financial guarantees that are not addressed by </t>
    </r>
    <r>
      <rPr>
        <b/>
        <u/>
        <sz val="9"/>
        <rFont val="Times New Roman"/>
        <family val="1"/>
      </rPr>
      <t>GASBS No. 91</t>
    </r>
    <r>
      <rPr>
        <sz val="9"/>
        <rFont val="Times New Roman"/>
        <family val="1"/>
      </rPr>
      <t>.</t>
    </r>
  </si>
  <si>
    <r>
      <rPr>
        <b/>
        <strike/>
        <u/>
        <sz val="9"/>
        <rFont val="Times New Roman"/>
        <family val="1"/>
      </rPr>
      <t>GASBS No. 60</t>
    </r>
    <r>
      <rPr>
        <b/>
        <strike/>
        <sz val="9"/>
        <rFont val="Times New Roman"/>
        <family val="1"/>
      </rPr>
      <t xml:space="preserve">, </t>
    </r>
    <r>
      <rPr>
        <i/>
        <strike/>
        <sz val="9"/>
        <rFont val="Times New Roman"/>
        <family val="1"/>
      </rPr>
      <t>Accounting and Financial Reporting for Service Concession Arrangements</t>
    </r>
  </si>
  <si>
    <r>
      <rPr>
        <b/>
        <strike/>
        <u/>
        <sz val="9"/>
        <rFont val="Times New Roman"/>
        <family val="1"/>
      </rPr>
      <t>GASBS No. 60</t>
    </r>
    <r>
      <rPr>
        <strike/>
        <sz val="9"/>
        <rFont val="Times New Roman"/>
        <family val="1"/>
      </rPr>
      <t xml:space="preserve"> requires the recognition, measurement and disclosure of information about service concession arrangements.  Service concession arrangements allow a government to leverage existing infrastructure and other public assets to generate additional available resources in the form of up-front payments from an entity for the right to operate those assets.  This statement is for entities using the economic resources measurement focus.  Therefore, it applies to the Component Unit statements.  </t>
    </r>
    <r>
      <rPr>
        <b/>
        <strike/>
        <u/>
        <sz val="9"/>
        <rFont val="Times New Roman"/>
        <family val="1"/>
      </rPr>
      <t>GASBS No. 72</t>
    </r>
    <r>
      <rPr>
        <strike/>
        <sz val="9"/>
        <rFont val="Times New Roman"/>
        <family val="1"/>
      </rPr>
      <t xml:space="preserve">, </t>
    </r>
    <r>
      <rPr>
        <i/>
        <strike/>
        <sz val="9"/>
        <rFont val="Times New Roman"/>
        <family val="1"/>
      </rPr>
      <t>Fair Value Measurement and Application</t>
    </r>
    <r>
      <rPr>
        <strike/>
        <sz val="9"/>
        <rFont val="Times New Roman"/>
        <family val="1"/>
      </rPr>
      <t xml:space="preserve">, includes amendments to </t>
    </r>
    <r>
      <rPr>
        <b/>
        <strike/>
        <u/>
        <sz val="9"/>
        <rFont val="Times New Roman"/>
        <family val="1"/>
      </rPr>
      <t>GASBS No. 60</t>
    </r>
    <r>
      <rPr>
        <strike/>
        <sz val="9"/>
        <rFont val="Times New Roman"/>
        <family val="1"/>
      </rPr>
      <t xml:space="preserve">.   </t>
    </r>
    <r>
      <rPr>
        <b/>
        <strike/>
        <sz val="9"/>
        <rFont val="Times New Roman"/>
        <family val="1"/>
      </rPr>
      <t xml:space="preserve"> </t>
    </r>
    <r>
      <rPr>
        <strike/>
        <sz val="9"/>
        <rFont val="Times New Roman"/>
        <family val="1"/>
      </rPr>
      <t xml:space="preserve">
</t>
    </r>
    <r>
      <rPr>
        <b/>
        <strike/>
        <sz val="9"/>
        <rFont val="Times New Roman"/>
        <family val="1"/>
      </rPr>
      <t xml:space="preserve">
</t>
    </r>
    <r>
      <rPr>
        <b/>
        <strike/>
        <u/>
        <sz val="9"/>
        <rFont val="Times New Roman"/>
        <family val="1"/>
      </rPr>
      <t>Note</t>
    </r>
    <r>
      <rPr>
        <b/>
        <strike/>
        <sz val="9"/>
        <rFont val="Times New Roman"/>
        <family val="1"/>
      </rPr>
      <t xml:space="preserve">: </t>
    </r>
    <r>
      <rPr>
        <strike/>
        <sz val="9"/>
        <rFont val="Times New Roman"/>
        <family val="1"/>
      </rPr>
      <t xml:space="preserve"> For additional information regarding GASB Statements, refer to the GASB website at </t>
    </r>
    <r>
      <rPr>
        <b/>
        <strike/>
        <u/>
        <sz val="9"/>
        <rFont val="Times New Roman"/>
        <family val="1"/>
      </rPr>
      <t>www.gasb.org</t>
    </r>
    <r>
      <rPr>
        <b/>
        <strike/>
        <sz val="9"/>
        <rFont val="Times New Roman"/>
        <family val="1"/>
      </rPr>
      <t xml:space="preserve">.  
</t>
    </r>
  </si>
  <si>
    <r>
      <t xml:space="preserve">Does the entity have any service concession arrangements where the </t>
    </r>
    <r>
      <rPr>
        <b/>
        <strike/>
        <sz val="9"/>
        <rFont val="Times New Roman"/>
        <family val="1"/>
      </rPr>
      <t xml:space="preserve">entity qualifies as the transferor or operator </t>
    </r>
    <r>
      <rPr>
        <strike/>
        <sz val="9"/>
        <rFont val="Times New Roman"/>
        <family val="1"/>
      </rPr>
      <t xml:space="preserve">in accordance with </t>
    </r>
    <r>
      <rPr>
        <b/>
        <strike/>
        <u/>
        <sz val="9"/>
        <rFont val="Times New Roman"/>
        <family val="1"/>
      </rPr>
      <t>GASBS No. 60</t>
    </r>
    <r>
      <rPr>
        <strike/>
        <sz val="9"/>
        <rFont val="Times New Roman"/>
        <family val="1"/>
      </rPr>
      <t xml:space="preserve"> requirements? 
If </t>
    </r>
    <r>
      <rPr>
        <b/>
        <strike/>
        <sz val="9"/>
        <rFont val="Times New Roman"/>
        <family val="1"/>
      </rPr>
      <t>yes</t>
    </r>
    <r>
      <rPr>
        <strike/>
        <sz val="9"/>
        <rFont val="Times New Roman"/>
        <family val="1"/>
      </rPr>
      <t xml:space="preserve">, provide a description of the service concession arrangement(s) and applicable disclosures required by </t>
    </r>
    <r>
      <rPr>
        <b/>
        <strike/>
        <u/>
        <sz val="9"/>
        <rFont val="Times New Roman"/>
        <family val="1"/>
      </rPr>
      <t>GASBS No. 60.</t>
    </r>
  </si>
  <si>
    <r>
      <t xml:space="preserve">If </t>
    </r>
    <r>
      <rPr>
        <b/>
        <strike/>
        <sz val="9"/>
        <rFont val="Times New Roman"/>
        <family val="1"/>
      </rPr>
      <t>yes</t>
    </r>
    <r>
      <rPr>
        <strike/>
        <sz val="9"/>
        <rFont val="Times New Roman"/>
        <family val="1"/>
      </rPr>
      <t xml:space="preserve"> to 13a, is the operator compensated directly from the users of the facility?  The users in this context is anyone outside of state government.</t>
    </r>
  </si>
  <si>
    <r>
      <t xml:space="preserve">If </t>
    </r>
    <r>
      <rPr>
        <b/>
        <strike/>
        <sz val="9"/>
        <rFont val="Times New Roman"/>
        <family val="1"/>
      </rPr>
      <t>yes</t>
    </r>
    <r>
      <rPr>
        <strike/>
        <sz val="9"/>
        <rFont val="Times New Roman"/>
        <family val="1"/>
      </rPr>
      <t xml:space="preserve"> to 13b, does the entity (transferor) determine or have the ability to modify or approve what services the operator provides, to whom the operator provides the services, and the rates charged for the services?</t>
    </r>
  </si>
  <si>
    <r>
      <t xml:space="preserve">If </t>
    </r>
    <r>
      <rPr>
        <b/>
        <strike/>
        <sz val="9"/>
        <rFont val="Times New Roman"/>
        <family val="1"/>
      </rPr>
      <t>yes</t>
    </r>
    <r>
      <rPr>
        <strike/>
        <sz val="9"/>
        <rFont val="Times New Roman"/>
        <family val="1"/>
      </rPr>
      <t xml:space="preserve"> to 13c, is the entity (transferor) entitled to significant residual interest in the service utility of the facility at the end of the arrangement?</t>
    </r>
  </si>
  <si>
    <r>
      <t xml:space="preserve">If </t>
    </r>
    <r>
      <rPr>
        <b/>
        <strike/>
        <sz val="9"/>
        <rFont val="Times New Roman"/>
        <family val="1"/>
      </rPr>
      <t>yes</t>
    </r>
    <r>
      <rPr>
        <strike/>
        <sz val="9"/>
        <rFont val="Times New Roman"/>
        <family val="1"/>
      </rPr>
      <t xml:space="preserve"> to parts 13a through 13d, are </t>
    </r>
    <r>
      <rPr>
        <b/>
        <strike/>
        <sz val="9"/>
        <rFont val="Times New Roman"/>
        <family val="1"/>
      </rPr>
      <t>all</t>
    </r>
    <r>
      <rPr>
        <strike/>
        <sz val="9"/>
        <rFont val="Times New Roman"/>
        <family val="1"/>
      </rPr>
      <t xml:space="preserve"> contracts that qualify as a Service Concession Arrangement in which the entity is the transferor properly reported on the financial statement template in accordance with </t>
    </r>
    <r>
      <rPr>
        <b/>
        <strike/>
        <u/>
        <sz val="9"/>
        <rFont val="Times New Roman"/>
        <family val="1"/>
      </rPr>
      <t>GASBS No. 60</t>
    </r>
    <r>
      <rPr>
        <strike/>
        <sz val="9"/>
        <rFont val="Times New Roman"/>
        <family val="1"/>
      </rPr>
      <t xml:space="preserve"> as amended by </t>
    </r>
    <r>
      <rPr>
        <b/>
        <strike/>
        <u/>
        <sz val="9"/>
        <rFont val="Times New Roman"/>
        <family val="1"/>
      </rPr>
      <t>GASBS No. 72</t>
    </r>
    <r>
      <rPr>
        <strike/>
        <sz val="9"/>
        <rFont val="Times New Roman"/>
        <family val="1"/>
      </rPr>
      <t>?  If no, explain.</t>
    </r>
  </si>
  <si>
    <r>
      <rPr>
        <b/>
        <strike/>
        <sz val="9"/>
        <rFont val="Times New Roman"/>
        <family val="1"/>
      </rPr>
      <t xml:space="preserve">If yes to the first four parts 13a through 13d  for a single contract that qualifies as a service concession arrangement in which the entity is the transferor, </t>
    </r>
    <r>
      <rPr>
        <strike/>
        <sz val="9"/>
        <rFont val="Times New Roman"/>
        <family val="1"/>
      </rPr>
      <t xml:space="preserve">provide a description of the service concession arrangement and operator in the space provided below.  
</t>
    </r>
    <r>
      <rPr>
        <b/>
        <strike/>
        <sz val="9"/>
        <rFont val="Times New Roman"/>
        <family val="1"/>
      </rPr>
      <t>If yes to 13e</t>
    </r>
    <r>
      <rPr>
        <strike/>
        <sz val="9"/>
        <rFont val="Times New Roman"/>
        <family val="1"/>
      </rPr>
      <t xml:space="preserve">, for each additional contract that qualifies as a service concession arrangement in which the entity is the transferor, provide a description of the service concession arrangement and the operator in the space provided below.
</t>
    </r>
  </si>
  <si>
    <r>
      <t>Does the entity have any agreements in place with a government (transferor) where the entity</t>
    </r>
    <r>
      <rPr>
        <b/>
        <strike/>
        <sz val="9"/>
        <rFont val="Times New Roman"/>
        <family val="1"/>
      </rPr>
      <t xml:space="preserve"> qualifies as the operator </t>
    </r>
    <r>
      <rPr>
        <strike/>
        <sz val="9"/>
        <rFont val="Times New Roman"/>
        <family val="1"/>
      </rPr>
      <t xml:space="preserve">in the following scenario?  The transferor conveyed to the entity (operator) the right and related obligation to provide public services through the use and operation of a capital asset in exchange for significant consideration, such as an up-front payment, installment payment, a new facility, or improvements to an existing facility.
</t>
    </r>
  </si>
  <si>
    <r>
      <t xml:space="preserve">If </t>
    </r>
    <r>
      <rPr>
        <b/>
        <strike/>
        <sz val="9"/>
        <rFont val="Times New Roman"/>
        <family val="1"/>
      </rPr>
      <t xml:space="preserve">yes </t>
    </r>
    <r>
      <rPr>
        <strike/>
        <sz val="9"/>
        <rFont val="Times New Roman"/>
        <family val="1"/>
      </rPr>
      <t>to 13g, is the entity (operator) compensated directly from the users of the facility?  The users in this context is anyone outside of state government.</t>
    </r>
  </si>
  <si>
    <r>
      <t xml:space="preserve">If </t>
    </r>
    <r>
      <rPr>
        <b/>
        <strike/>
        <sz val="9"/>
        <rFont val="Times New Roman"/>
        <family val="1"/>
      </rPr>
      <t xml:space="preserve">yes </t>
    </r>
    <r>
      <rPr>
        <strike/>
        <sz val="9"/>
        <rFont val="Times New Roman"/>
        <family val="1"/>
      </rPr>
      <t>to 13h, does the transferor determine or have the ability to modify or approve what services the entity (operator) provides, to whom the entity (operator) provides the services, and the rates charged for the services?</t>
    </r>
  </si>
  <si>
    <r>
      <t xml:space="preserve">If </t>
    </r>
    <r>
      <rPr>
        <b/>
        <strike/>
        <sz val="9"/>
        <rFont val="Times New Roman"/>
        <family val="1"/>
      </rPr>
      <t>yes</t>
    </r>
    <r>
      <rPr>
        <strike/>
        <sz val="9"/>
        <rFont val="Times New Roman"/>
        <family val="1"/>
      </rPr>
      <t xml:space="preserve"> to 13i, is the transferor entitled to significant residual interest in the service utility of the facility at the end of the arrangement?</t>
    </r>
  </si>
  <si>
    <r>
      <t>If</t>
    </r>
    <r>
      <rPr>
        <b/>
        <strike/>
        <sz val="9"/>
        <rFont val="Times New Roman"/>
        <family val="1"/>
      </rPr>
      <t xml:space="preserve"> yes </t>
    </r>
    <r>
      <rPr>
        <strike/>
        <sz val="9"/>
        <rFont val="Times New Roman"/>
        <family val="1"/>
      </rPr>
      <t xml:space="preserve">to parts 13g through 13j, are </t>
    </r>
    <r>
      <rPr>
        <b/>
        <strike/>
        <sz val="9"/>
        <rFont val="Times New Roman"/>
        <family val="1"/>
      </rPr>
      <t>all</t>
    </r>
    <r>
      <rPr>
        <strike/>
        <sz val="9"/>
        <rFont val="Times New Roman"/>
        <family val="1"/>
      </rPr>
      <t xml:space="preserve"> contracts that qualify as a Service Concession Arrangement in which the entity is the operator properly reported on the financial statement template in accordance with </t>
    </r>
    <r>
      <rPr>
        <b/>
        <strike/>
        <u/>
        <sz val="9"/>
        <rFont val="Times New Roman"/>
        <family val="1"/>
      </rPr>
      <t>GASBS No. 60</t>
    </r>
    <r>
      <rPr>
        <strike/>
        <sz val="9"/>
        <rFont val="Times New Roman"/>
        <family val="1"/>
      </rPr>
      <t xml:space="preserve"> as amended by</t>
    </r>
    <r>
      <rPr>
        <strike/>
        <u/>
        <sz val="9"/>
        <rFont val="Times New Roman"/>
        <family val="1"/>
      </rPr>
      <t xml:space="preserve"> </t>
    </r>
    <r>
      <rPr>
        <b/>
        <strike/>
        <u/>
        <sz val="9"/>
        <rFont val="Times New Roman"/>
        <family val="1"/>
      </rPr>
      <t>GASBS No. 72</t>
    </r>
    <r>
      <rPr>
        <strike/>
        <sz val="9"/>
        <rFont val="Times New Roman"/>
        <family val="1"/>
      </rPr>
      <t>?  If no, explain.</t>
    </r>
  </si>
  <si>
    <r>
      <rPr>
        <b/>
        <strike/>
        <sz val="9"/>
        <rFont val="Times New Roman"/>
        <family val="1"/>
      </rPr>
      <t>If yes to the first four parts 13g through 13j,</t>
    </r>
    <r>
      <rPr>
        <strike/>
        <sz val="9"/>
        <rFont val="Times New Roman"/>
        <family val="1"/>
      </rPr>
      <t xml:space="preserve"> for a single contract that qualifies as a service concession arrangement in which the entity is the operator, provide a description of the service concession arrangement and transferor in the space provided below.  
</t>
    </r>
    <r>
      <rPr>
        <b/>
        <strike/>
        <sz val="9"/>
        <rFont val="Times New Roman"/>
        <family val="1"/>
      </rPr>
      <t>If yes to question 13k</t>
    </r>
    <r>
      <rPr>
        <strike/>
        <sz val="9"/>
        <rFont val="Times New Roman"/>
        <family val="1"/>
      </rPr>
      <t xml:space="preserve">, for each additional contract that qualifies as a service concession arrangement in which the entity is the operator, provide a description of the service concession arrangement and transferor  in the space provided below.
</t>
    </r>
  </si>
  <si>
    <r>
      <rPr>
        <b/>
        <strike/>
        <u/>
        <sz val="9"/>
        <rFont val="Times New Roman"/>
        <family val="1"/>
      </rPr>
      <t>GASBS No. 61</t>
    </r>
    <r>
      <rPr>
        <b/>
        <strike/>
        <sz val="9"/>
        <rFont val="Times New Roman"/>
        <family val="1"/>
      </rPr>
      <t xml:space="preserve">, </t>
    </r>
    <r>
      <rPr>
        <i/>
        <strike/>
        <sz val="9"/>
        <rFont val="Times New Roman"/>
        <family val="1"/>
      </rPr>
      <t>The Financial Reporting Entity: Omnibus</t>
    </r>
  </si>
  <si>
    <r>
      <rPr>
        <b/>
        <strike/>
        <u/>
        <sz val="9"/>
        <rFont val="Times New Roman"/>
        <family val="1"/>
      </rPr>
      <t>GASBS No. 61</t>
    </r>
    <r>
      <rPr>
        <strike/>
        <sz val="9"/>
        <rFont val="Times New Roman"/>
        <family val="1"/>
      </rPr>
      <t xml:space="preserve"> provides amendments to </t>
    </r>
    <r>
      <rPr>
        <b/>
        <strike/>
        <u/>
        <sz val="9"/>
        <rFont val="Times New Roman"/>
        <family val="1"/>
      </rPr>
      <t>GASBS No. 14</t>
    </r>
    <r>
      <rPr>
        <strike/>
        <sz val="9"/>
        <rFont val="Times New Roman"/>
        <family val="1"/>
      </rPr>
      <t xml:space="preserve"> and </t>
    </r>
    <r>
      <rPr>
        <b/>
        <strike/>
        <u/>
        <sz val="9"/>
        <rFont val="Times New Roman"/>
        <family val="1"/>
      </rPr>
      <t>GASBS No. 34</t>
    </r>
    <r>
      <rPr>
        <strike/>
        <sz val="9"/>
        <rFont val="Times New Roman"/>
        <family val="1"/>
      </rPr>
      <t>.  Additional information regarding</t>
    </r>
    <r>
      <rPr>
        <b/>
        <strike/>
        <u/>
        <sz val="9"/>
        <rFont val="Times New Roman"/>
        <family val="1"/>
      </rPr>
      <t xml:space="preserve"> </t>
    </r>
    <r>
      <rPr>
        <strike/>
        <sz val="9"/>
        <rFont val="Times New Roman"/>
        <family val="1"/>
      </rPr>
      <t xml:space="preserve"> </t>
    </r>
    <r>
      <rPr>
        <b/>
        <strike/>
        <u/>
        <sz val="9"/>
        <rFont val="Times New Roman"/>
        <family val="1"/>
      </rPr>
      <t>GASBS No. 14</t>
    </r>
    <r>
      <rPr>
        <strike/>
        <sz val="9"/>
        <rFont val="Times New Roman"/>
        <family val="1"/>
      </rPr>
      <t xml:space="preserve">, </t>
    </r>
    <r>
      <rPr>
        <b/>
        <strike/>
        <u/>
        <sz val="9"/>
        <rFont val="Times New Roman"/>
        <family val="1"/>
      </rPr>
      <t>GASBS No. 39</t>
    </r>
    <r>
      <rPr>
        <strike/>
        <sz val="9"/>
        <rFont val="Times New Roman"/>
        <family val="1"/>
      </rPr>
      <t xml:space="preserve"> and </t>
    </r>
    <r>
      <rPr>
        <b/>
        <strike/>
        <u/>
        <sz val="9"/>
        <rFont val="Times New Roman"/>
        <family val="1"/>
      </rPr>
      <t>GASBS No. 61</t>
    </r>
    <r>
      <rPr>
        <strike/>
        <sz val="9"/>
        <rFont val="Times New Roman"/>
        <family val="1"/>
      </rPr>
      <t xml:space="preserve"> is available on DOA's website.
</t>
    </r>
  </si>
  <si>
    <r>
      <t xml:space="preserve">14a) </t>
    </r>
    <r>
      <rPr>
        <b/>
        <strike/>
        <sz val="9"/>
        <rFont val="Times New Roman"/>
        <family val="1"/>
      </rPr>
      <t>Majority Equity Interest in a Legally Separate Organization</t>
    </r>
    <r>
      <rPr>
        <strike/>
        <sz val="9"/>
        <rFont val="Times New Roman"/>
        <family val="1"/>
      </rPr>
      <t xml:space="preserve">:  Does the entity own a majority of the equity interest (for example, through acquisition of its voting stock) in a legally separate organization? If </t>
    </r>
    <r>
      <rPr>
        <b/>
        <strike/>
        <sz val="9"/>
        <rFont val="Times New Roman"/>
        <family val="1"/>
      </rPr>
      <t>yes</t>
    </r>
    <r>
      <rPr>
        <strike/>
        <sz val="9"/>
        <rFont val="Times New Roman"/>
        <family val="1"/>
      </rPr>
      <t xml:space="preserve">,  provide the name(s) of the organization(s), reason(s) for the acquisition (i.e. for investment purposes or to directly enhance the ability to provide services), and type of organization(s) (i.e., for-profit corporation, partnership, etc.).
</t>
    </r>
  </si>
  <si>
    <r>
      <rPr>
        <b/>
        <strike/>
        <u/>
        <sz val="9"/>
        <rFont val="Times New Roman"/>
        <family val="1"/>
      </rPr>
      <t>GASBS No. 14</t>
    </r>
    <r>
      <rPr>
        <strike/>
        <sz val="9"/>
        <rFont val="Times New Roman"/>
        <family val="1"/>
      </rPr>
      <t xml:space="preserve"> paragraph 69 defines a </t>
    </r>
    <r>
      <rPr>
        <b/>
        <strike/>
        <sz val="9"/>
        <rFont val="Times New Roman"/>
        <family val="1"/>
      </rPr>
      <t>joint venture</t>
    </r>
    <r>
      <rPr>
        <strike/>
        <sz val="9"/>
        <rFont val="Times New Roman"/>
        <family val="1"/>
      </rPr>
      <t xml:space="preserve"> as a legal entity or other organization that results from a contractual arrangement and that is owned, operated, or governed by two or more participants as a separate and specific activity subject to joint control, in which participants retain (a) an ongoing financial interest or (b) an ongoing financial responsibility.  
-  </t>
    </r>
    <r>
      <rPr>
        <b/>
        <strike/>
        <sz val="9"/>
        <rFont val="Times New Roman"/>
        <family val="1"/>
      </rPr>
      <t>Parts 14b to 14g</t>
    </r>
    <r>
      <rPr>
        <strike/>
        <sz val="9"/>
        <rFont val="Times New Roman"/>
        <family val="1"/>
      </rPr>
      <t xml:space="preserve"> are regarding organizations that are similar to a joint venture; however, there is no joint control.  
-  </t>
    </r>
    <r>
      <rPr>
        <b/>
        <strike/>
        <sz val="9"/>
        <rFont val="Times New Roman"/>
        <family val="1"/>
      </rPr>
      <t>Parts 14h to 14j</t>
    </r>
    <r>
      <rPr>
        <strike/>
        <sz val="9"/>
        <rFont val="Times New Roman"/>
        <family val="1"/>
      </rPr>
      <t xml:space="preserve"> are regarding organizations that are joint ventures.</t>
    </r>
  </si>
  <si>
    <r>
      <rPr>
        <b/>
        <strike/>
        <u/>
        <sz val="9"/>
        <rFont val="Times New Roman"/>
        <family val="1"/>
      </rPr>
      <t>GASBS No. 14</t>
    </r>
    <r>
      <rPr>
        <strike/>
        <sz val="9"/>
        <rFont val="Times New Roman"/>
        <family val="1"/>
      </rPr>
      <t xml:space="preserve">  paragraph 72 defines </t>
    </r>
    <r>
      <rPr>
        <b/>
        <strike/>
        <sz val="9"/>
        <rFont val="Times New Roman"/>
        <family val="1"/>
      </rPr>
      <t xml:space="preserve">equity interest </t>
    </r>
    <r>
      <rPr>
        <strike/>
        <sz val="9"/>
        <rFont val="Times New Roman"/>
        <family val="1"/>
      </rPr>
      <t xml:space="preserve">as a financial interest in a joint venture evidenced by the ownership of shares of the joint venture's stock or by otherwise having an explicit, measurable right to the net resources of the joint venture that is usually based on an investment of financial or capital resources by a participating government.   It further states that an equity interest is explicit and measurable if the joint venture agreement stipulates that the participants have a present or future claim to the net resources of the joint venture and sets forth the method to determine the participants' shares of the joint venture's net resources.  </t>
    </r>
  </si>
  <si>
    <r>
      <t xml:space="preserve">14b to 14g)  </t>
    </r>
    <r>
      <rPr>
        <b/>
        <strike/>
        <sz val="9"/>
        <rFont val="Times New Roman"/>
        <family val="1"/>
      </rPr>
      <t>Organizations with Joint Venture Characteristics</t>
    </r>
    <r>
      <rPr>
        <strike/>
        <sz val="9"/>
        <rFont val="Times New Roman"/>
        <family val="1"/>
      </rPr>
      <t xml:space="preserve">:   This part includes questions to indicate whether the entity participates in an organization with joint venture characteristics.  This type of organization would meet the definition of a joint venture except the participants do not have joint control of the organization because one participant (majority participant) appoints a voting majority of the organization's governing body.    </t>
    </r>
  </si>
  <si>
    <r>
      <t>14b)  Is the entity a participant of an organization that is similar to a joint venture; however, there is no joint control because one participant (i.e. majority participant) appoints a voting majority of the organization's governing body?  If</t>
    </r>
    <r>
      <rPr>
        <b/>
        <strike/>
        <sz val="9"/>
        <rFont val="Times New Roman"/>
        <family val="1"/>
      </rPr>
      <t xml:space="preserve"> yes</t>
    </r>
    <r>
      <rPr>
        <strike/>
        <sz val="9"/>
        <rFont val="Times New Roman"/>
        <family val="1"/>
      </rPr>
      <t>, provide the name of the organization(s), and description.</t>
    </r>
  </si>
  <si>
    <r>
      <t xml:space="preserve">14c)  If </t>
    </r>
    <r>
      <rPr>
        <b/>
        <strike/>
        <sz val="9"/>
        <rFont val="Times New Roman"/>
        <family val="1"/>
      </rPr>
      <t xml:space="preserve">yes </t>
    </r>
    <r>
      <rPr>
        <strike/>
        <sz val="9"/>
        <rFont val="Times New Roman"/>
        <family val="1"/>
      </rPr>
      <t xml:space="preserve">to 14b, is the entity the majority participant of this organization?  </t>
    </r>
  </si>
  <si>
    <r>
      <t xml:space="preserve">14d)  If </t>
    </r>
    <r>
      <rPr>
        <b/>
        <strike/>
        <sz val="9"/>
        <rFont val="Times New Roman"/>
        <family val="1"/>
      </rPr>
      <t>yes</t>
    </r>
    <r>
      <rPr>
        <strike/>
        <sz val="9"/>
        <rFont val="Times New Roman"/>
        <family val="1"/>
      </rPr>
      <t xml:space="preserve"> to 14b and 14c, is this organization a component unit of the entity?</t>
    </r>
  </si>
  <si>
    <r>
      <t xml:space="preserve">14e) If </t>
    </r>
    <r>
      <rPr>
        <b/>
        <strike/>
        <sz val="9"/>
        <rFont val="Times New Roman"/>
        <family val="1"/>
      </rPr>
      <t>yes</t>
    </r>
    <r>
      <rPr>
        <strike/>
        <sz val="9"/>
        <rFont val="Times New Roman"/>
        <family val="1"/>
      </rPr>
      <t xml:space="preserve"> to 14b, do participants have equity interests in the organization?  If</t>
    </r>
    <r>
      <rPr>
        <b/>
        <strike/>
        <sz val="9"/>
        <rFont val="Times New Roman"/>
        <family val="1"/>
      </rPr>
      <t xml:space="preserve"> yes</t>
    </r>
    <r>
      <rPr>
        <strike/>
        <sz val="9"/>
        <rFont val="Times New Roman"/>
        <family val="1"/>
      </rPr>
      <t>, provide the entity's equity interest amount as of June 30, 2017.</t>
    </r>
  </si>
  <si>
    <r>
      <t>14f) If</t>
    </r>
    <r>
      <rPr>
        <b/>
        <strike/>
        <sz val="9"/>
        <rFont val="Times New Roman"/>
        <family val="1"/>
      </rPr>
      <t xml:space="preserve"> yes</t>
    </r>
    <r>
      <rPr>
        <strike/>
        <sz val="9"/>
        <rFont val="Times New Roman"/>
        <family val="1"/>
      </rPr>
      <t xml:space="preserve"> to 14b through 14e, are the equity interests of the minority participants reported as restricted net position-nonexpendable on the financial statement template?  If </t>
    </r>
    <r>
      <rPr>
        <b/>
        <strike/>
        <sz val="9"/>
        <rFont val="Times New Roman"/>
        <family val="1"/>
      </rPr>
      <t>yes</t>
    </r>
    <r>
      <rPr>
        <strike/>
        <sz val="9"/>
        <rFont val="Times New Roman"/>
        <family val="1"/>
      </rPr>
      <t xml:space="preserve">, provide the amount of the minority participants' equity interest amount as of June 30, 2017, and the restricted net position-nonexpendable financial statement template line item that it is reported on.  If </t>
    </r>
    <r>
      <rPr>
        <b/>
        <strike/>
        <sz val="9"/>
        <rFont val="Times New Roman"/>
        <family val="1"/>
      </rPr>
      <t>no</t>
    </r>
    <r>
      <rPr>
        <strike/>
        <sz val="9"/>
        <rFont val="Times New Roman"/>
        <family val="1"/>
      </rPr>
      <t xml:space="preserve">, explain.  </t>
    </r>
  </si>
  <si>
    <r>
      <t xml:space="preserve">14g)  If </t>
    </r>
    <r>
      <rPr>
        <b/>
        <strike/>
        <sz val="9"/>
        <rFont val="Times New Roman"/>
        <family val="1"/>
      </rPr>
      <t>yes</t>
    </r>
    <r>
      <rPr>
        <strike/>
        <sz val="9"/>
        <rFont val="Times New Roman"/>
        <family val="1"/>
      </rPr>
      <t xml:space="preserve"> to 14e, are the equity interests properly reported on the financial statement template in accordance with </t>
    </r>
    <r>
      <rPr>
        <b/>
        <strike/>
        <u/>
        <sz val="9"/>
        <rFont val="Times New Roman"/>
        <family val="1"/>
      </rPr>
      <t>GASBS No. 61</t>
    </r>
    <r>
      <rPr>
        <strike/>
        <sz val="9"/>
        <rFont val="Times New Roman"/>
        <family val="1"/>
      </rPr>
      <t xml:space="preserve">?  If </t>
    </r>
    <r>
      <rPr>
        <b/>
        <strike/>
        <sz val="9"/>
        <rFont val="Times New Roman"/>
        <family val="1"/>
      </rPr>
      <t>no</t>
    </r>
    <r>
      <rPr>
        <strike/>
        <sz val="9"/>
        <rFont val="Times New Roman"/>
        <family val="1"/>
      </rPr>
      <t>, explain.</t>
    </r>
  </si>
  <si>
    <r>
      <t xml:space="preserve">14h to 14j)  </t>
    </r>
    <r>
      <rPr>
        <b/>
        <strike/>
        <sz val="9"/>
        <rFont val="Times New Roman"/>
        <family val="1"/>
      </rPr>
      <t>Joint Ventures</t>
    </r>
    <r>
      <rPr>
        <strike/>
        <sz val="9"/>
        <rFont val="Times New Roman"/>
        <family val="1"/>
      </rPr>
      <t xml:space="preserve">:   This part includes questions to indicate whether the entity participates in an organization that is a joint venture.   Joint ventures are addressed in </t>
    </r>
    <r>
      <rPr>
        <b/>
        <strike/>
        <u/>
        <sz val="9"/>
        <rFont val="Times New Roman"/>
        <family val="1"/>
      </rPr>
      <t>GASBS No. 14</t>
    </r>
    <r>
      <rPr>
        <strike/>
        <sz val="9"/>
        <rFont val="Times New Roman"/>
        <family val="1"/>
      </rPr>
      <t xml:space="preserve"> paragraphs 69 to 76.   </t>
    </r>
    <r>
      <rPr>
        <b/>
        <strike/>
        <u/>
        <sz val="9"/>
        <rFont val="Times New Roman"/>
        <family val="1"/>
      </rPr>
      <t>GASBS No. 61</t>
    </r>
    <r>
      <rPr>
        <strike/>
        <sz val="9"/>
        <rFont val="Times New Roman"/>
        <family val="1"/>
      </rPr>
      <t xml:space="preserve"> paragraph 10 replaces the term "investment" with "equity interest" in </t>
    </r>
    <r>
      <rPr>
        <b/>
        <strike/>
        <u/>
        <sz val="9"/>
        <rFont val="Times New Roman"/>
        <family val="1"/>
      </rPr>
      <t>GASBS No. 14</t>
    </r>
    <r>
      <rPr>
        <strike/>
        <sz val="9"/>
        <rFont val="Times New Roman"/>
        <family val="1"/>
      </rPr>
      <t xml:space="preserve"> paragraphs 73 &amp; 74.</t>
    </r>
  </si>
  <si>
    <r>
      <t xml:space="preserve">14h)  Does the entity participate in a joint venture?   If </t>
    </r>
    <r>
      <rPr>
        <b/>
        <strike/>
        <sz val="9"/>
        <rFont val="Times New Roman"/>
        <family val="1"/>
      </rPr>
      <t>yes</t>
    </r>
    <r>
      <rPr>
        <strike/>
        <sz val="9"/>
        <rFont val="Times New Roman"/>
        <family val="1"/>
      </rPr>
      <t>, provide the name of the organization(s), and description of the joint venture including the nature of any ongoing financial interest or ongoing financial responsibility resulting from participation in the joint venture.</t>
    </r>
  </si>
  <si>
    <r>
      <t xml:space="preserve">14j)  If </t>
    </r>
    <r>
      <rPr>
        <b/>
        <strike/>
        <sz val="9"/>
        <rFont val="Times New Roman"/>
        <family val="1"/>
      </rPr>
      <t>yes</t>
    </r>
    <r>
      <rPr>
        <strike/>
        <sz val="9"/>
        <rFont val="Times New Roman"/>
        <family val="1"/>
      </rPr>
      <t xml:space="preserve"> to 14i, are the equity interests properly reported on the financial statement template in accordance with </t>
    </r>
    <r>
      <rPr>
        <b/>
        <strike/>
        <u/>
        <sz val="9"/>
        <rFont val="Times New Roman"/>
        <family val="1"/>
      </rPr>
      <t xml:space="preserve">GASBS No. 14 </t>
    </r>
    <r>
      <rPr>
        <strike/>
        <sz val="9"/>
        <rFont val="Times New Roman"/>
        <family val="1"/>
      </rPr>
      <t>modified by</t>
    </r>
    <r>
      <rPr>
        <b/>
        <strike/>
        <sz val="9"/>
        <rFont val="Times New Roman"/>
        <family val="1"/>
      </rPr>
      <t xml:space="preserve"> </t>
    </r>
    <r>
      <rPr>
        <b/>
        <strike/>
        <u/>
        <sz val="9"/>
        <rFont val="Times New Roman"/>
        <family val="1"/>
      </rPr>
      <t>GASBS No. 61</t>
    </r>
    <r>
      <rPr>
        <strike/>
        <sz val="9"/>
        <rFont val="Times New Roman"/>
        <family val="1"/>
      </rPr>
      <t xml:space="preserve">?  If </t>
    </r>
    <r>
      <rPr>
        <b/>
        <strike/>
        <sz val="9"/>
        <rFont val="Times New Roman"/>
        <family val="1"/>
      </rPr>
      <t>no</t>
    </r>
    <r>
      <rPr>
        <strike/>
        <sz val="9"/>
        <rFont val="Times New Roman"/>
        <family val="1"/>
      </rPr>
      <t xml:space="preserve">, explain. </t>
    </r>
  </si>
  <si>
    <r>
      <t xml:space="preserve">2)  </t>
    </r>
    <r>
      <rPr>
        <b/>
        <strike/>
        <sz val="9"/>
        <rFont val="Times New Roman"/>
        <family val="1"/>
      </rPr>
      <t>Service Concession Arrangements (SCA)</t>
    </r>
    <r>
      <rPr>
        <strike/>
        <sz val="9"/>
        <rFont val="Times New Roman"/>
        <family val="1"/>
      </rPr>
      <t xml:space="preserve"> - Amount the entity as transferor reports for the difference between the acquisition value of a new facility purchased or constructed by the operator or the improvement of an existing facility by the operator and any contractual liabilities that the entity as transferor reports under the SCA. 
(</t>
    </r>
    <r>
      <rPr>
        <b/>
        <strike/>
        <u/>
        <sz val="9"/>
        <rFont val="Times New Roman"/>
        <family val="1"/>
      </rPr>
      <t>GASBS No. 60</t>
    </r>
    <r>
      <rPr>
        <strike/>
        <sz val="9"/>
        <rFont val="Times New Roman"/>
        <family val="1"/>
      </rPr>
      <t xml:space="preserve"> paragraph 9 as amended by </t>
    </r>
    <r>
      <rPr>
        <b/>
        <strike/>
        <u/>
        <sz val="9"/>
        <rFont val="Times New Roman"/>
        <family val="1"/>
      </rPr>
      <t>GASBS No. 72</t>
    </r>
    <r>
      <rPr>
        <strike/>
        <sz val="9"/>
        <rFont val="Times New Roman"/>
        <family val="1"/>
      </rPr>
      <t xml:space="preserve"> paragraph 79 &amp; 85)</t>
    </r>
  </si>
  <si>
    <r>
      <t xml:space="preserve">3)  </t>
    </r>
    <r>
      <rPr>
        <b/>
        <strike/>
        <sz val="9"/>
        <rFont val="Times New Roman"/>
        <family val="1"/>
      </rPr>
      <t>Service Concession Arrangements</t>
    </r>
    <r>
      <rPr>
        <strike/>
        <sz val="9"/>
        <rFont val="Times New Roman"/>
        <family val="1"/>
      </rPr>
      <t xml:space="preserve"> -  Amount the entity as transferor reports for the difference between up-front or installment payments from the operator and any contractual liabilities that the transferor reports under the SCA. (</t>
    </r>
    <r>
      <rPr>
        <b/>
        <strike/>
        <u/>
        <sz val="9"/>
        <rFont val="Times New Roman"/>
        <family val="1"/>
      </rPr>
      <t>GASBS No. 60</t>
    </r>
    <r>
      <rPr>
        <strike/>
        <sz val="9"/>
        <rFont val="Times New Roman"/>
        <family val="1"/>
      </rPr>
      <t xml:space="preserve"> paragraph 12)</t>
    </r>
  </si>
  <si>
    <r>
      <t xml:space="preserve">2)  </t>
    </r>
    <r>
      <rPr>
        <b/>
        <sz val="9"/>
        <rFont val="Times New Roman"/>
        <family val="1"/>
      </rPr>
      <t>Refundings of Debt</t>
    </r>
    <r>
      <rPr>
        <sz val="9"/>
        <rFont val="Times New Roman"/>
        <family val="1"/>
      </rPr>
      <t xml:space="preserve"> - Deferral on debt defeasance - gain:  For current refundings and advance refundings resulting in debt defeasance and the reacquisition price is less than the net carrying amount of the old debt (</t>
    </r>
    <r>
      <rPr>
        <b/>
        <u/>
        <sz val="9"/>
        <rFont val="Times New Roman"/>
        <family val="1"/>
      </rPr>
      <t>GASBS No. 65</t>
    </r>
    <r>
      <rPr>
        <sz val="9"/>
        <rFont val="Times New Roman"/>
        <family val="1"/>
      </rPr>
      <t xml:space="preserve"> paragraphs 5 &amp; 6)</t>
    </r>
  </si>
  <si>
    <r>
      <t xml:space="preserve">3) </t>
    </r>
    <r>
      <rPr>
        <b/>
        <sz val="9"/>
        <rFont val="Times New Roman"/>
        <family val="1"/>
      </rPr>
      <t xml:space="preserve"> Refundings of Deb</t>
    </r>
    <r>
      <rPr>
        <sz val="9"/>
        <rFont val="Times New Roman"/>
        <family val="1"/>
      </rPr>
      <t>t - A change in provisions of a lease resulting from a refunding, including an advance refunding, of tax-exempt debt by the lessor who then passes through the effect to the lessee and the lease continues to be classified as a lease by the lessee which decreases the lessee's lease obligation (</t>
    </r>
    <r>
      <rPr>
        <b/>
        <u/>
        <sz val="9"/>
        <rFont val="Times New Roman"/>
        <family val="1"/>
      </rPr>
      <t>GASBS No. 87</t>
    </r>
    <r>
      <rPr>
        <sz val="9"/>
        <rFont val="Times New Roman"/>
        <family val="1"/>
      </rPr>
      <t xml:space="preserve"> paragraph 74)</t>
    </r>
  </si>
  <si>
    <r>
      <t xml:space="preserve">4)  </t>
    </r>
    <r>
      <rPr>
        <b/>
        <sz val="9"/>
        <rFont val="Times New Roman"/>
        <family val="1"/>
      </rPr>
      <t>Government-Mandated &amp; Voluntary Nonexchange Transactions</t>
    </r>
    <r>
      <rPr>
        <sz val="9"/>
        <rFont val="Times New Roman"/>
        <family val="1"/>
      </rPr>
      <t xml:space="preserve"> - Resources received by recipients before time requirements are met, but after the other eligibility requirements have been met (</t>
    </r>
    <r>
      <rPr>
        <b/>
        <u/>
        <sz val="9"/>
        <rFont val="Times New Roman"/>
        <family val="1"/>
      </rPr>
      <t>GASBS No. 65</t>
    </r>
    <r>
      <rPr>
        <sz val="9"/>
        <rFont val="Times New Roman"/>
        <family val="1"/>
      </rPr>
      <t xml:space="preserve"> paragraphs 8 &amp; 10)</t>
    </r>
  </si>
  <si>
    <r>
      <t xml:space="preserve">5)  </t>
    </r>
    <r>
      <rPr>
        <b/>
        <sz val="9"/>
        <rFont val="Times New Roman"/>
        <family val="1"/>
      </rPr>
      <t>Imposed Nonexchange Revenue Transactions</t>
    </r>
    <r>
      <rPr>
        <sz val="9"/>
        <rFont val="Times New Roman"/>
        <family val="1"/>
      </rPr>
      <t xml:space="preserve"> - Amounts received or reported as a receivable before the period when resources are required to be used or when use is first permitted in which the enabling legislation includes time requirements (</t>
    </r>
    <r>
      <rPr>
        <b/>
        <u/>
        <sz val="9"/>
        <rFont val="Times New Roman"/>
        <family val="1"/>
      </rPr>
      <t>GASBS No. 65</t>
    </r>
    <r>
      <rPr>
        <sz val="9"/>
        <rFont val="Times New Roman"/>
        <family val="1"/>
      </rPr>
      <t xml:space="preserve"> paragraphs 8 &amp; 9)</t>
    </r>
  </si>
  <si>
    <r>
      <t xml:space="preserve">6)  </t>
    </r>
    <r>
      <rPr>
        <b/>
        <sz val="9"/>
        <rFont val="Times New Roman"/>
        <family val="1"/>
      </rPr>
      <t>Sale of Future Revenues &amp; Intra-Entity Transfers of Future Revenues</t>
    </r>
    <r>
      <rPr>
        <sz val="9"/>
        <rFont val="Times New Roman"/>
        <family val="1"/>
      </rPr>
      <t xml:space="preserve"> - Amount a transferor government receives as proceeds in the sale of future revenue transactions except for instances requiring revenue recognition in the period of sale as discussed in </t>
    </r>
    <r>
      <rPr>
        <b/>
        <u/>
        <sz val="9"/>
        <rFont val="Times New Roman"/>
        <family val="1"/>
      </rPr>
      <t>GASBS No. 48</t>
    </r>
    <r>
      <rPr>
        <sz val="9"/>
        <rFont val="Times New Roman"/>
        <family val="1"/>
      </rPr>
      <t xml:space="preserve"> paragraph 14 (</t>
    </r>
    <r>
      <rPr>
        <b/>
        <u/>
        <sz val="9"/>
        <rFont val="Times New Roman"/>
        <family val="1"/>
      </rPr>
      <t>GASBS No. 65</t>
    </r>
    <r>
      <rPr>
        <sz val="9"/>
        <rFont val="Times New Roman"/>
        <family val="1"/>
      </rPr>
      <t xml:space="preserve"> paragraphs 11, 12 &amp; 13)</t>
    </r>
  </si>
  <si>
    <r>
      <t xml:space="preserve">7)  </t>
    </r>
    <r>
      <rPr>
        <b/>
        <sz val="9"/>
        <rFont val="Times New Roman"/>
        <family val="1"/>
      </rPr>
      <t>Sale-Leaseback Transactions</t>
    </r>
    <r>
      <rPr>
        <sz val="9"/>
        <rFont val="Times New Roman"/>
        <family val="1"/>
      </rPr>
      <t xml:space="preserve"> - Gain on the sale of property that is accompanied by a leaseback of all or of any part of the property for all or part of its remaining economic life (</t>
    </r>
    <r>
      <rPr>
        <b/>
        <u/>
        <sz val="9"/>
        <rFont val="Times New Roman"/>
        <family val="1"/>
      </rPr>
      <t>GASBS No. 87</t>
    </r>
    <r>
      <rPr>
        <sz val="9"/>
        <rFont val="Times New Roman"/>
        <family val="1"/>
      </rPr>
      <t xml:space="preserve"> paragraphs 82-86)</t>
    </r>
  </si>
  <si>
    <r>
      <t xml:space="preserve">8) </t>
    </r>
    <r>
      <rPr>
        <b/>
        <sz val="9"/>
        <rFont val="Times New Roman"/>
        <family val="1"/>
      </rPr>
      <t xml:space="preserve"> Lending Activities</t>
    </r>
    <r>
      <rPr>
        <sz val="9"/>
        <rFont val="Times New Roman"/>
        <family val="1"/>
      </rPr>
      <t xml:space="preserve"> - Points received by lender in relation to a loan origination (</t>
    </r>
    <r>
      <rPr>
        <b/>
        <u/>
        <sz val="9"/>
        <rFont val="Times New Roman"/>
        <family val="1"/>
      </rPr>
      <t>GASBS No. 65</t>
    </r>
    <r>
      <rPr>
        <sz val="9"/>
        <rFont val="Times New Roman"/>
        <family val="1"/>
      </rPr>
      <t xml:space="preserve"> paragraphs 21 &amp; 22)</t>
    </r>
  </si>
  <si>
    <r>
      <t xml:space="preserve">9)  </t>
    </r>
    <r>
      <rPr>
        <b/>
        <sz val="9"/>
        <rFont val="Times New Roman"/>
        <family val="1"/>
      </rPr>
      <t>Mortgage Banking Activities</t>
    </r>
    <r>
      <rPr>
        <sz val="9"/>
        <rFont val="Times New Roman"/>
        <family val="1"/>
      </rPr>
      <t xml:space="preserve"> - Points received by lender for loans held for investment (</t>
    </r>
    <r>
      <rPr>
        <b/>
        <u/>
        <sz val="9"/>
        <rFont val="Times New Roman"/>
        <family val="1"/>
      </rPr>
      <t>GASBS No. 65</t>
    </r>
    <r>
      <rPr>
        <sz val="9"/>
        <rFont val="Times New Roman"/>
        <family val="1"/>
      </rPr>
      <t xml:space="preserve"> paragraphs 25 &amp; 26)</t>
    </r>
  </si>
  <si>
    <r>
      <t xml:space="preserve">10)  </t>
    </r>
    <r>
      <rPr>
        <b/>
        <sz val="9"/>
        <rFont val="Times New Roman"/>
        <family val="1"/>
      </rPr>
      <t>Mortgage Banking Activities</t>
    </r>
    <r>
      <rPr>
        <sz val="9"/>
        <rFont val="Times New Roman"/>
        <family val="1"/>
      </rPr>
      <t xml:space="preserve"> - Origination fees, including any portion related to points, received by lender for loans held for sale (</t>
    </r>
    <r>
      <rPr>
        <b/>
        <u/>
        <sz val="9"/>
        <rFont val="Times New Roman"/>
        <family val="1"/>
      </rPr>
      <t>GASBS No. 65</t>
    </r>
    <r>
      <rPr>
        <sz val="9"/>
        <rFont val="Times New Roman"/>
        <family val="1"/>
      </rPr>
      <t xml:space="preserve"> paragraphs 25 &amp; 26)</t>
    </r>
  </si>
  <si>
    <r>
      <t xml:space="preserve">11)  </t>
    </r>
    <r>
      <rPr>
        <b/>
        <sz val="9"/>
        <rFont val="Times New Roman"/>
        <family val="1"/>
      </rPr>
      <t>Regulated Operations</t>
    </r>
    <r>
      <rPr>
        <sz val="9"/>
        <rFont val="Times New Roman"/>
        <family val="1"/>
      </rPr>
      <t xml:space="preserve"> - Regulator's rate actions that result in an acquisition of net assets from the regulated business-type activity's customers that is applicable to a future reporting period (</t>
    </r>
    <r>
      <rPr>
        <b/>
        <u/>
        <sz val="9"/>
        <rFont val="Times New Roman"/>
        <family val="1"/>
      </rPr>
      <t>GASBS No. 65</t>
    </r>
    <r>
      <rPr>
        <sz val="9"/>
        <rFont val="Times New Roman"/>
        <family val="1"/>
      </rPr>
      <t xml:space="preserve"> paragraphs 28 &amp; 29)</t>
    </r>
  </si>
  <si>
    <r>
      <t xml:space="preserve">12) </t>
    </r>
    <r>
      <rPr>
        <b/>
        <sz val="9"/>
        <color theme="1"/>
        <rFont val="Times New Roman"/>
        <family val="1"/>
      </rPr>
      <t>Pension-Related</t>
    </r>
    <r>
      <rPr>
        <sz val="9"/>
        <color theme="1"/>
        <rFont val="Times New Roman"/>
        <family val="1"/>
      </rPr>
      <t xml:space="preserve"> - VRS defined benefit pension plans (</t>
    </r>
    <r>
      <rPr>
        <b/>
        <u/>
        <sz val="9"/>
        <color theme="1"/>
        <rFont val="Times New Roman"/>
        <family val="1"/>
      </rPr>
      <t>GASBS No. 68</t>
    </r>
    <r>
      <rPr>
        <sz val="9"/>
        <color theme="1"/>
        <rFont val="Times New Roman"/>
        <family val="1"/>
      </rPr>
      <t>)</t>
    </r>
  </si>
  <si>
    <r>
      <t xml:space="preserve">13) </t>
    </r>
    <r>
      <rPr>
        <b/>
        <sz val="9"/>
        <color theme="1"/>
        <rFont val="Times New Roman"/>
        <family val="1"/>
      </rPr>
      <t>Pension-Related</t>
    </r>
    <r>
      <rPr>
        <sz val="9"/>
        <color theme="1"/>
        <rFont val="Times New Roman"/>
        <family val="1"/>
      </rPr>
      <t xml:space="preserve"> - Other defined benefit pension plans (not with VRS) (</t>
    </r>
    <r>
      <rPr>
        <b/>
        <u/>
        <sz val="9"/>
        <color theme="1"/>
        <rFont val="Times New Roman"/>
        <family val="1"/>
      </rPr>
      <t>GASBS No. 68</t>
    </r>
    <r>
      <rPr>
        <sz val="9"/>
        <color theme="1"/>
        <rFont val="Times New Roman"/>
        <family val="1"/>
      </rPr>
      <t>)</t>
    </r>
  </si>
  <si>
    <r>
      <t xml:space="preserve">14) </t>
    </r>
    <r>
      <rPr>
        <b/>
        <sz val="9"/>
        <color theme="1"/>
        <rFont val="Times New Roman"/>
        <family val="1"/>
      </rPr>
      <t xml:space="preserve">Irrevocable Split-Interest Agreements Related - </t>
    </r>
    <r>
      <rPr>
        <sz val="9"/>
        <color theme="1"/>
        <rFont val="Times New Roman"/>
        <family val="1"/>
      </rPr>
      <t>Government's beneficial interest in an irrevocable split-interest agreement (</t>
    </r>
    <r>
      <rPr>
        <b/>
        <u/>
        <sz val="9"/>
        <color theme="1"/>
        <rFont val="Times New Roman"/>
        <family val="1"/>
      </rPr>
      <t>GASBS No. 81</t>
    </r>
    <r>
      <rPr>
        <sz val="9"/>
        <color theme="1"/>
        <rFont val="Times New Roman"/>
        <family val="1"/>
      </rPr>
      <t>)</t>
    </r>
  </si>
  <si>
    <r>
      <t xml:space="preserve">15) </t>
    </r>
    <r>
      <rPr>
        <b/>
        <sz val="9"/>
        <color theme="1"/>
        <rFont val="Times New Roman"/>
        <family val="1"/>
      </rPr>
      <t>Other Postemployment Benefits-Related</t>
    </r>
    <r>
      <rPr>
        <sz val="9"/>
        <color theme="1"/>
        <rFont val="Times New Roman"/>
        <family val="1"/>
      </rPr>
      <t xml:space="preserve"> - VRS other postemployment benefits plans - with a trust (</t>
    </r>
    <r>
      <rPr>
        <b/>
        <u/>
        <sz val="9"/>
        <color theme="1"/>
        <rFont val="Times New Roman"/>
        <family val="1"/>
      </rPr>
      <t>GASBS No. 75</t>
    </r>
    <r>
      <rPr>
        <sz val="9"/>
        <color theme="1"/>
        <rFont val="Times New Roman"/>
        <family val="1"/>
      </rPr>
      <t>)</t>
    </r>
  </si>
  <si>
    <r>
      <t xml:space="preserve">16) </t>
    </r>
    <r>
      <rPr>
        <b/>
        <sz val="9"/>
        <color theme="1"/>
        <rFont val="Times New Roman"/>
        <family val="1"/>
      </rPr>
      <t xml:space="preserve">Other Postemployment Benefits-Related </t>
    </r>
    <r>
      <rPr>
        <sz val="9"/>
        <color theme="1"/>
        <rFont val="Times New Roman"/>
        <family val="1"/>
      </rPr>
      <t xml:space="preserve">- DHRM other postemployment benefits plan - </t>
    </r>
    <r>
      <rPr>
        <u/>
        <sz val="9"/>
        <color theme="1"/>
        <rFont val="Times New Roman"/>
        <family val="1"/>
      </rPr>
      <t>not</t>
    </r>
    <r>
      <rPr>
        <sz val="9"/>
        <color theme="1"/>
        <rFont val="Times New Roman"/>
        <family val="1"/>
      </rPr>
      <t xml:space="preserve"> with a trust - Pre-Medicare Retiree Healthcare (</t>
    </r>
    <r>
      <rPr>
        <b/>
        <u/>
        <sz val="9"/>
        <color theme="1"/>
        <rFont val="Times New Roman"/>
        <family val="1"/>
      </rPr>
      <t>GASBS No. 75</t>
    </r>
    <r>
      <rPr>
        <sz val="9"/>
        <color theme="1"/>
        <rFont val="Times New Roman"/>
        <family val="1"/>
      </rPr>
      <t>)</t>
    </r>
  </si>
  <si>
    <r>
      <t xml:space="preserve">17) </t>
    </r>
    <r>
      <rPr>
        <b/>
        <sz val="9"/>
        <color theme="1"/>
        <rFont val="Times New Roman"/>
        <family val="1"/>
      </rPr>
      <t>Other Postemployment Benefits-Related</t>
    </r>
    <r>
      <rPr>
        <sz val="9"/>
        <color theme="1"/>
        <rFont val="Times New Roman"/>
        <family val="1"/>
      </rPr>
      <t xml:space="preserve"> - Other postemployment benefits plans - with a trust (not with VRS) (</t>
    </r>
    <r>
      <rPr>
        <b/>
        <u/>
        <sz val="9"/>
        <color theme="1"/>
        <rFont val="Times New Roman"/>
        <family val="1"/>
      </rPr>
      <t>GASBS No. 75</t>
    </r>
    <r>
      <rPr>
        <sz val="9"/>
        <color theme="1"/>
        <rFont val="Times New Roman"/>
        <family val="1"/>
      </rPr>
      <t>)</t>
    </r>
  </si>
  <si>
    <r>
      <t xml:space="preserve">18) </t>
    </r>
    <r>
      <rPr>
        <b/>
        <sz val="9"/>
        <color theme="1"/>
        <rFont val="Times New Roman"/>
        <family val="1"/>
      </rPr>
      <t>Other Postemployment Benefits-Related</t>
    </r>
    <r>
      <rPr>
        <sz val="9"/>
        <color theme="1"/>
        <rFont val="Times New Roman"/>
        <family val="1"/>
      </rPr>
      <t xml:space="preserve"> - Other postemployment benefits plans - </t>
    </r>
    <r>
      <rPr>
        <u/>
        <sz val="9"/>
        <color theme="1"/>
        <rFont val="Times New Roman"/>
        <family val="1"/>
      </rPr>
      <t>not</t>
    </r>
    <r>
      <rPr>
        <sz val="9"/>
        <color theme="1"/>
        <rFont val="Times New Roman"/>
        <family val="1"/>
      </rPr>
      <t xml:space="preserve"> with a trust (not with DHRM) (</t>
    </r>
    <r>
      <rPr>
        <b/>
        <u/>
        <sz val="9"/>
        <color theme="1"/>
        <rFont val="Times New Roman"/>
        <family val="1"/>
      </rPr>
      <t>GASBS No. 75</t>
    </r>
    <r>
      <rPr>
        <sz val="9"/>
        <color theme="1"/>
        <rFont val="Times New Roman"/>
        <family val="1"/>
      </rPr>
      <t>)</t>
    </r>
  </si>
  <si>
    <r>
      <t xml:space="preserve">19)  </t>
    </r>
    <r>
      <rPr>
        <b/>
        <sz val="9"/>
        <rFont val="Times New Roman"/>
        <family val="1"/>
      </rPr>
      <t>Leases</t>
    </r>
    <r>
      <rPr>
        <sz val="9"/>
        <rFont val="Times New Roman"/>
        <family val="1"/>
      </rPr>
      <t xml:space="preserve"> -</t>
    </r>
    <r>
      <rPr>
        <sz val="11"/>
        <rFont val="Times New Roman"/>
        <family val="1"/>
      </rPr>
      <t xml:space="preserve"> </t>
    </r>
    <r>
      <rPr>
        <sz val="9"/>
        <rFont val="Times New Roman"/>
        <family val="1"/>
      </rPr>
      <t>Amounts associated with lease transactions (</t>
    </r>
    <r>
      <rPr>
        <b/>
        <u/>
        <sz val="9"/>
        <rFont val="Times New Roman"/>
        <family val="1"/>
      </rPr>
      <t>GASBS No. 87</t>
    </r>
    <r>
      <rPr>
        <sz val="9"/>
        <rFont val="Times New Roman"/>
        <family val="1"/>
      </rPr>
      <t>)</t>
    </r>
  </si>
  <si>
    <r>
      <t xml:space="preserve">20) </t>
    </r>
    <r>
      <rPr>
        <b/>
        <sz val="9"/>
        <rFont val="Times New Roman"/>
        <family val="1"/>
      </rPr>
      <t>Certain Arrangements Associated with Conduit Debt Obligations</t>
    </r>
    <r>
      <rPr>
        <sz val="9"/>
        <rFont val="Times New Roman"/>
        <family val="1"/>
      </rPr>
      <t>: In certain arrangements associated with conduit debt obligations and issuer retains title to capital asset and third- party obligor has exclusive use of portions of the capital asset (</t>
    </r>
    <r>
      <rPr>
        <b/>
        <u/>
        <sz val="9"/>
        <rFont val="Times New Roman"/>
        <family val="1"/>
      </rPr>
      <t>GASBS No. 91</t>
    </r>
    <r>
      <rPr>
        <sz val="9"/>
        <rFont val="Times New Roman"/>
        <family val="1"/>
      </rPr>
      <t xml:space="preserve"> paragraphs 22 and 23)</t>
    </r>
  </si>
  <si>
    <r>
      <t xml:space="preserve">21) </t>
    </r>
    <r>
      <rPr>
        <b/>
        <sz val="9"/>
        <color theme="1"/>
        <rFont val="Times New Roman"/>
        <family val="1"/>
      </rPr>
      <t>Public-Private and Public-Public Partnerships Arrangements (PPPs) including Service Concession Arrangements (SCAs)</t>
    </r>
    <r>
      <rPr>
        <sz val="9"/>
        <color theme="1"/>
        <rFont val="Times New Roman"/>
        <family val="1"/>
      </rPr>
      <t xml:space="preserve"> - Amounts associated with PPPs, including SCAs, when a government is the transferor (</t>
    </r>
    <r>
      <rPr>
        <b/>
        <u/>
        <sz val="9"/>
        <color theme="1"/>
        <rFont val="Times New Roman"/>
        <family val="1"/>
      </rPr>
      <t>GASBS No. 94</t>
    </r>
    <r>
      <rPr>
        <sz val="9"/>
        <color theme="1"/>
        <rFont val="Times New Roman"/>
        <family val="1"/>
      </rPr>
      <t>)</t>
    </r>
  </si>
  <si>
    <r>
      <t xml:space="preserve">If </t>
    </r>
    <r>
      <rPr>
        <b/>
        <sz val="9"/>
        <rFont val="Times New Roman"/>
        <family val="1"/>
      </rPr>
      <t>yes</t>
    </r>
    <r>
      <rPr>
        <sz val="9"/>
        <rFont val="Times New Roman"/>
        <family val="1"/>
      </rPr>
      <t xml:space="preserve"> to 15a and/or 15b,  provide the name of the plan(s), type of plan(s), and general description of the benefits.  
Also, if </t>
    </r>
    <r>
      <rPr>
        <b/>
        <sz val="9"/>
        <rFont val="Times New Roman"/>
        <family val="1"/>
      </rPr>
      <t>yes</t>
    </r>
    <r>
      <rPr>
        <sz val="9"/>
        <rFont val="Times New Roman"/>
        <family val="1"/>
      </rPr>
      <t xml:space="preserve"> to 15c and the entity has more than one OPEB plan, indicate which OPEB plan(s) has a trust that meets the requirements in </t>
    </r>
    <r>
      <rPr>
        <b/>
        <u/>
        <sz val="9"/>
        <rFont val="Times New Roman"/>
        <family val="1"/>
      </rPr>
      <t>GASBS No. 75</t>
    </r>
    <r>
      <rPr>
        <sz val="9"/>
        <rFont val="Times New Roman"/>
        <family val="1"/>
      </rPr>
      <t xml:space="preserve"> paragraph 4.  Also, indicate if the plan(s) is considered a fiduciary component unit of the entity in accordance with </t>
    </r>
    <r>
      <rPr>
        <b/>
        <u/>
        <sz val="9"/>
        <rFont val="Times New Roman"/>
        <family val="1"/>
      </rPr>
      <t>GASBS No. 14</t>
    </r>
    <r>
      <rPr>
        <sz val="9"/>
        <rFont val="Times New Roman"/>
        <family val="1"/>
      </rPr>
      <t xml:space="preserve"> as amended through </t>
    </r>
    <r>
      <rPr>
        <b/>
        <u/>
        <sz val="9"/>
        <rFont val="Times New Roman"/>
        <family val="1"/>
      </rPr>
      <t>GASBS No. 90</t>
    </r>
    <r>
      <rPr>
        <sz val="9"/>
        <rFont val="Times New Roman"/>
        <family val="1"/>
      </rPr>
      <t xml:space="preserve">.  </t>
    </r>
  </si>
  <si>
    <t>18c</t>
  </si>
  <si>
    <t>18d</t>
  </si>
  <si>
    <t>18e</t>
  </si>
  <si>
    <r>
      <rPr>
        <b/>
        <u/>
        <sz val="9"/>
        <rFont val="Times New Roman"/>
        <family val="1"/>
      </rPr>
      <t xml:space="preserve"> GASBS No. 91</t>
    </r>
    <r>
      <rPr>
        <sz val="9"/>
        <rFont val="Times New Roman"/>
        <family val="1"/>
      </rPr>
      <t xml:space="preserve">, </t>
    </r>
    <r>
      <rPr>
        <i/>
        <sz val="9"/>
        <rFont val="Times New Roman"/>
        <family val="1"/>
      </rPr>
      <t>Conduit Debt Obligations</t>
    </r>
  </si>
  <si>
    <t>20a</t>
  </si>
  <si>
    <t>20b</t>
  </si>
  <si>
    <t>20c</t>
  </si>
  <si>
    <t>20d</t>
  </si>
  <si>
    <t>20e</t>
  </si>
  <si>
    <r>
      <rPr>
        <b/>
        <sz val="9"/>
        <color theme="1"/>
        <rFont val="Times New Roman"/>
        <family val="1"/>
      </rPr>
      <t>Public-Private and Public-Public Partnerships (PPPs)</t>
    </r>
    <r>
      <rPr>
        <sz val="9"/>
        <color theme="1"/>
        <rFont val="Times New Roman"/>
        <family val="1"/>
      </rPr>
      <t xml:space="preserve">: Does the entity have any arrangements in place as the operator or transferor that qualify as a PPP pursuant to </t>
    </r>
    <r>
      <rPr>
        <b/>
        <u/>
        <sz val="9"/>
        <color theme="1"/>
        <rFont val="Times New Roman"/>
        <family val="1"/>
      </rPr>
      <t>GASBS No. 94</t>
    </r>
    <r>
      <rPr>
        <sz val="9"/>
        <color theme="1"/>
        <rFont val="Times New Roman"/>
        <family val="1"/>
      </rPr>
      <t xml:space="preserve"> requirements?  
</t>
    </r>
    <r>
      <rPr>
        <i/>
        <sz val="9"/>
        <color theme="1"/>
        <rFont val="Times New Roman"/>
        <family val="1"/>
      </rPr>
      <t xml:space="preserve">A PPP arrangement is when the transferor (a government) has contracted with an operator (nongovernmental or governmental entity) to provide public services by conveying to the operator control of the right to operate or use a nonfinancial asset, such as infrastructure or other capital asset (underlying PPP asset), for a period of time in an exchange or exchange-like transaction. </t>
    </r>
    <r>
      <rPr>
        <sz val="9"/>
        <color theme="1"/>
        <rFont val="Times New Roman"/>
        <family val="1"/>
      </rPr>
      <t xml:space="preserve">
If </t>
    </r>
    <r>
      <rPr>
        <b/>
        <sz val="9"/>
        <color theme="1"/>
        <rFont val="Times New Roman"/>
        <family val="1"/>
      </rPr>
      <t>yes</t>
    </r>
    <r>
      <rPr>
        <sz val="9"/>
        <color theme="1"/>
        <rFont val="Times New Roman"/>
        <family val="1"/>
      </rPr>
      <t>, please complete questions 20b-d.  DOA will reach out as necessary for additional information.</t>
    </r>
  </si>
  <si>
    <r>
      <rPr>
        <b/>
        <sz val="9"/>
        <rFont val="Times New Roman"/>
        <family val="1"/>
      </rPr>
      <t>Service Concession Arrangements (SCAs)</t>
    </r>
    <r>
      <rPr>
        <sz val="9"/>
        <rFont val="Times New Roman"/>
        <family val="1"/>
      </rPr>
      <t xml:space="preserve">: Does the entity have any PPP arrangements that qualify as an SCA, where the entity is considered the transferor or operator pursuant to </t>
    </r>
    <r>
      <rPr>
        <b/>
        <u/>
        <sz val="9"/>
        <rFont val="Times New Roman"/>
        <family val="1"/>
      </rPr>
      <t>GASBS No. 94</t>
    </r>
    <r>
      <rPr>
        <sz val="9"/>
        <rFont val="Times New Roman"/>
        <family val="1"/>
      </rPr>
      <t xml:space="preserve"> requirements?
</t>
    </r>
    <r>
      <rPr>
        <i/>
        <sz val="9"/>
        <rFont val="Times New Roman"/>
        <family val="1"/>
      </rPr>
      <t>An SCA is a PPP arrangement between a transferor and an operator in which ALL of the following are met:</t>
    </r>
    <r>
      <rPr>
        <sz val="9"/>
        <rFont val="Times New Roman"/>
        <family val="1"/>
      </rPr>
      <t xml:space="preserve">
</t>
    </r>
    <r>
      <rPr>
        <i/>
        <sz val="9"/>
        <rFont val="Times New Roman"/>
        <family val="1"/>
      </rPr>
      <t xml:space="preserve">-the transfer conveys to the operator the right and related obligation to provide public services through the use and operation of an underlying PPP asset in exchange for significant consideration, such as an up-front payment, installment payments, new facility, or improvements to an existing facility
-the operator collects and is compensated by fees from third parties
-the transferor determines or has the ability to modify or approve which services the operator is required to provide, to whom to provide services, and the prices or rates that can be charged
-the transferor is entitled to significant residual interest in the service utility of the underlying PPP asset at the end of the arrangement
</t>
    </r>
    <r>
      <rPr>
        <sz val="9"/>
        <rFont val="Times New Roman"/>
        <family val="1"/>
      </rPr>
      <t xml:space="preserve">If </t>
    </r>
    <r>
      <rPr>
        <b/>
        <sz val="9"/>
        <rFont val="Times New Roman"/>
        <family val="1"/>
      </rPr>
      <t>yes</t>
    </r>
    <r>
      <rPr>
        <sz val="9"/>
        <rFont val="Times New Roman"/>
        <family val="1"/>
      </rPr>
      <t xml:space="preserve">, please provide the following information for all arrangements: general description, operator or transferor, installment payments, upfront payments, information relating to asset (new, existing, being constructed),  and any other information required for </t>
    </r>
    <r>
      <rPr>
        <b/>
        <u/>
        <sz val="9"/>
        <rFont val="Times New Roman"/>
        <family val="1"/>
      </rPr>
      <t>GASBS No. 94</t>
    </r>
    <r>
      <rPr>
        <sz val="9"/>
        <rFont val="Times New Roman"/>
        <family val="1"/>
      </rPr>
      <t xml:space="preserve"> footnote disclosures.</t>
    </r>
  </si>
  <si>
    <r>
      <rPr>
        <b/>
        <sz val="9"/>
        <rFont val="Times New Roman"/>
        <family val="1"/>
      </rPr>
      <t>Other PPP arrangements</t>
    </r>
    <r>
      <rPr>
        <sz val="9"/>
        <rFont val="Times New Roman"/>
        <family val="1"/>
      </rPr>
      <t xml:space="preserve">: Does the entity have any PPP arrangements that do NOT qualify as an SCA (question 20b) and are NOT considered leases (question 20c), pursuant to </t>
    </r>
    <r>
      <rPr>
        <b/>
        <u/>
        <sz val="9"/>
        <rFont val="Times New Roman"/>
        <family val="1"/>
      </rPr>
      <t>GASBS No. 94</t>
    </r>
    <r>
      <rPr>
        <sz val="9"/>
        <rFont val="Times New Roman"/>
        <family val="1"/>
      </rPr>
      <t xml:space="preserve">?
If </t>
    </r>
    <r>
      <rPr>
        <b/>
        <sz val="9"/>
        <rFont val="Times New Roman"/>
        <family val="1"/>
      </rPr>
      <t>yes</t>
    </r>
    <r>
      <rPr>
        <sz val="9"/>
        <rFont val="Times New Roman"/>
        <family val="1"/>
      </rPr>
      <t xml:space="preserve">, please provide the following information for all arrangements: general description, operator or transferor, installment payments, upfront payments, information relating to asset (new, existing, being constructed), and any other information required for </t>
    </r>
    <r>
      <rPr>
        <b/>
        <u/>
        <sz val="9"/>
        <rFont val="Times New Roman"/>
        <family val="1"/>
      </rPr>
      <t>GASBS No. 94</t>
    </r>
    <r>
      <rPr>
        <sz val="9"/>
        <rFont val="Times New Roman"/>
        <family val="1"/>
      </rPr>
      <t xml:space="preserve"> footnote disclosures.</t>
    </r>
  </si>
  <si>
    <r>
      <rPr>
        <b/>
        <sz val="9"/>
        <rFont val="Times New Roman"/>
        <family val="1"/>
      </rPr>
      <t>Availability Payment Arrangements</t>
    </r>
    <r>
      <rPr>
        <sz val="9"/>
        <rFont val="Times New Roman"/>
        <family val="1"/>
      </rPr>
      <t xml:space="preserve">: Does the entity have any agreements in place with an operator (nongovernmental or governmental entity) where the entity qualifies as the transferor that compensates an operator for activities such as designing, constructing, financing, maintaining, or operating an underlying nonfinancial asset for a period of time in an exchange or exchange-like transaction based entirely on the asset's availability for use rather than on tolls, fees, or similar revenues, pursuant to </t>
    </r>
    <r>
      <rPr>
        <b/>
        <u/>
        <sz val="9"/>
        <rFont val="Times New Roman"/>
        <family val="1"/>
      </rPr>
      <t>GASBS No. 94</t>
    </r>
    <r>
      <rPr>
        <sz val="9"/>
        <rFont val="Times New Roman"/>
        <family val="1"/>
      </rPr>
      <t>?</t>
    </r>
    <r>
      <rPr>
        <b/>
        <sz val="9"/>
        <rFont val="Times New Roman"/>
        <family val="1"/>
      </rPr>
      <t xml:space="preserve">
</t>
    </r>
    <r>
      <rPr>
        <sz val="9"/>
        <rFont val="Times New Roman"/>
        <family val="1"/>
      </rPr>
      <t xml:space="preserve">
If </t>
    </r>
    <r>
      <rPr>
        <b/>
        <sz val="9"/>
        <rFont val="Times New Roman"/>
        <family val="1"/>
      </rPr>
      <t>yes</t>
    </r>
    <r>
      <rPr>
        <sz val="9"/>
        <rFont val="Times New Roman"/>
        <family val="1"/>
      </rPr>
      <t xml:space="preserve">, please provide general information relating to these arrangements.  </t>
    </r>
  </si>
  <si>
    <r>
      <t>Right-to-Use underlying PPP Intangible Assets (</t>
    </r>
    <r>
      <rPr>
        <b/>
        <u/>
        <sz val="8"/>
        <rFont val="Times New Roman"/>
        <family val="1"/>
      </rPr>
      <t>GASBS No. 94)</t>
    </r>
  </si>
  <si>
    <r>
      <t xml:space="preserve"> Right-to-Use underlying PPP Intangible Assets (</t>
    </r>
    <r>
      <rPr>
        <b/>
        <u/>
        <sz val="8"/>
        <rFont val="Times New Roman"/>
        <family val="1"/>
      </rPr>
      <t>GASBS No. 94)</t>
    </r>
  </si>
  <si>
    <t xml:space="preserve">    Land</t>
  </si>
  <si>
    <t xml:space="preserve">    Infrastructure</t>
  </si>
  <si>
    <t xml:space="preserve">    Other Right-to-Use Intangibles</t>
  </si>
  <si>
    <t xml:space="preserve">    Other Right-to-Use Intangibles - provide description:</t>
  </si>
  <si>
    <r>
      <t>Right-to-Use underlying PPP Intangible Assets (</t>
    </r>
    <r>
      <rPr>
        <b/>
        <u/>
        <sz val="8"/>
        <rFont val="Times New Roman"/>
        <family val="1"/>
      </rPr>
      <t>GASBS No. 94</t>
    </r>
    <r>
      <rPr>
        <sz val="8"/>
        <rFont val="Times New Roman"/>
        <family val="1"/>
      </rPr>
      <t>)</t>
    </r>
  </si>
  <si>
    <t xml:space="preserve"> Other Capital Assets:</t>
  </si>
  <si>
    <r>
      <t xml:space="preserve">impairment of capital assets as described in </t>
    </r>
    <r>
      <rPr>
        <b/>
        <u/>
        <sz val="8"/>
        <rFont val="Times New Roman"/>
        <family val="1"/>
      </rPr>
      <t>GASBS No. 42</t>
    </r>
    <r>
      <rPr>
        <sz val="8"/>
        <rFont val="Times New Roman"/>
        <family val="1"/>
      </rPr>
      <t xml:space="preserve">, </t>
    </r>
    <r>
      <rPr>
        <b/>
        <u/>
        <sz val="8"/>
        <rFont val="Times New Roman"/>
        <family val="1"/>
      </rPr>
      <t>GASBS No. 87</t>
    </r>
    <r>
      <rPr>
        <sz val="8"/>
        <rFont val="Times New Roman"/>
        <family val="1"/>
      </rPr>
      <t xml:space="preserve">, </t>
    </r>
    <r>
      <rPr>
        <b/>
        <u/>
        <sz val="8"/>
        <rFont val="Times New Roman"/>
        <family val="1"/>
      </rPr>
      <t>GASBS No. 94</t>
    </r>
    <r>
      <rPr>
        <sz val="8"/>
        <rFont val="Times New Roman"/>
        <family val="1"/>
      </rPr>
      <t xml:space="preserve"> or </t>
    </r>
    <r>
      <rPr>
        <b/>
        <u/>
        <sz val="8"/>
        <rFont val="Times New Roman"/>
        <family val="1"/>
      </rPr>
      <t>GASBS No. 96</t>
    </r>
    <r>
      <rPr>
        <sz val="8"/>
        <rFont val="Times New Roman"/>
        <family val="1"/>
      </rPr>
      <t>?</t>
    </r>
  </si>
  <si>
    <r>
      <t>GASBS No. 42</t>
    </r>
    <r>
      <rPr>
        <b/>
        <sz val="8"/>
        <rFont val="Times New Roman"/>
        <family val="1"/>
      </rPr>
      <t xml:space="preserve">, </t>
    </r>
    <r>
      <rPr>
        <i/>
        <sz val="8"/>
        <rFont val="Times New Roman"/>
        <family val="1"/>
      </rPr>
      <t xml:space="preserve">Accounting and Financial Reporting for Impairment of Capital Assets, </t>
    </r>
    <r>
      <rPr>
        <b/>
        <u/>
        <sz val="8"/>
        <rFont val="Times New Roman"/>
        <family val="1"/>
      </rPr>
      <t>GASBS No. 87</t>
    </r>
    <r>
      <rPr>
        <i/>
        <sz val="8"/>
        <rFont val="Times New Roman"/>
        <family val="1"/>
      </rPr>
      <t>, Leases</t>
    </r>
    <r>
      <rPr>
        <sz val="8"/>
        <rFont val="Times New Roman"/>
        <family val="1"/>
      </rPr>
      <t xml:space="preserve">, </t>
    </r>
    <r>
      <rPr>
        <b/>
        <u/>
        <sz val="8"/>
        <rFont val="Times New Roman"/>
        <family val="1"/>
      </rPr>
      <t>GASBS No. 94</t>
    </r>
    <r>
      <rPr>
        <sz val="8"/>
        <rFont val="Times New Roman"/>
        <family val="1"/>
      </rPr>
      <t xml:space="preserve">, </t>
    </r>
    <r>
      <rPr>
        <i/>
        <sz val="8"/>
        <rFont val="Times New Roman"/>
        <family val="1"/>
      </rPr>
      <t>Public-Private and Public-Public Partnerships</t>
    </r>
  </si>
  <si>
    <r>
      <t xml:space="preserve">D) </t>
    </r>
    <r>
      <rPr>
        <b/>
        <sz val="8"/>
        <rFont val="Times New Roman"/>
        <family val="1"/>
      </rPr>
      <t>Financial Statement Template (CU4) Reporting &amp; Footnote Disclosure</t>
    </r>
    <r>
      <rPr>
        <sz val="8"/>
        <rFont val="Times New Roman"/>
        <family val="1"/>
      </rPr>
      <t>:  If yes to A, B, and C, has the impairment loss been properly reported</t>
    </r>
  </si>
  <si>
    <r>
      <t xml:space="preserve">on the CU4 template in accordance with </t>
    </r>
    <r>
      <rPr>
        <b/>
        <u/>
        <sz val="8"/>
        <rFont val="Times New Roman"/>
        <family val="1"/>
      </rPr>
      <t>GASBS No. 42</t>
    </r>
    <r>
      <rPr>
        <sz val="8"/>
        <rFont val="Times New Roman"/>
        <family val="1"/>
      </rPr>
      <t xml:space="preserve">, </t>
    </r>
    <r>
      <rPr>
        <b/>
        <u/>
        <sz val="8"/>
        <rFont val="Times New Roman"/>
        <family val="1"/>
      </rPr>
      <t>GASBS No. 87</t>
    </r>
    <r>
      <rPr>
        <sz val="8"/>
        <rFont val="Times New Roman"/>
        <family val="1"/>
      </rPr>
      <t xml:space="preserve">, </t>
    </r>
    <r>
      <rPr>
        <b/>
        <u/>
        <sz val="8"/>
        <rFont val="Times New Roman"/>
        <family val="1"/>
      </rPr>
      <t>GASBS No. 94</t>
    </r>
    <r>
      <rPr>
        <sz val="8"/>
        <rFont val="Times New Roman"/>
        <family val="1"/>
      </rPr>
      <t xml:space="preserve"> or </t>
    </r>
    <r>
      <rPr>
        <b/>
        <u/>
        <sz val="8"/>
        <rFont val="Times New Roman"/>
        <family val="1"/>
      </rPr>
      <t>GASBS No.96</t>
    </r>
    <r>
      <rPr>
        <sz val="8"/>
        <rFont val="Times New Roman"/>
        <family val="1"/>
      </rPr>
      <t xml:space="preserve">?  </t>
    </r>
  </si>
  <si>
    <t>Reduction in right-to-use underlying PPP asset and liability</t>
  </si>
  <si>
    <t>Additional impairment loss (in excess of the reduction in asset and liability)</t>
  </si>
  <si>
    <t>recoveries on Tab 8 - Miscellaneous, Part 6.</t>
  </si>
  <si>
    <r>
      <t xml:space="preserve">If </t>
    </r>
    <r>
      <rPr>
        <b/>
        <sz val="8"/>
        <rFont val="Times New Roman"/>
        <family val="1"/>
      </rPr>
      <t xml:space="preserve">yes for a </t>
    </r>
    <r>
      <rPr>
        <b/>
        <u/>
        <sz val="8"/>
        <rFont val="Times New Roman"/>
        <family val="1"/>
      </rPr>
      <t>GASBS No. 87</t>
    </r>
    <r>
      <rPr>
        <sz val="8"/>
        <rFont val="Times New Roman"/>
        <family val="1"/>
      </rPr>
      <t xml:space="preserve"> lease impairment, provide the reduction in the lease asset and liability resulting from the impairment.  If applicable, provide the impairment loss in </t>
    </r>
  </si>
  <si>
    <r>
      <t xml:space="preserve">If </t>
    </r>
    <r>
      <rPr>
        <b/>
        <sz val="8"/>
        <rFont val="Times New Roman"/>
        <family val="1"/>
      </rPr>
      <t xml:space="preserve">yes for a </t>
    </r>
    <r>
      <rPr>
        <b/>
        <u/>
        <sz val="8"/>
        <rFont val="Times New Roman"/>
        <family val="1"/>
      </rPr>
      <t>GASBS No. 94</t>
    </r>
    <r>
      <rPr>
        <sz val="8"/>
        <rFont val="Times New Roman"/>
        <family val="1"/>
      </rPr>
      <t xml:space="preserve"> right-to-use underlying PPP asset impairment, provide the reduction in the asset and liability resulting from the impairment.  If applicable, provide</t>
    </r>
  </si>
  <si>
    <t>the impairment loss in excess of the reduction of the asset and liability line item.</t>
  </si>
  <si>
    <r>
      <t xml:space="preserve">If </t>
    </r>
    <r>
      <rPr>
        <b/>
        <sz val="8"/>
        <rFont val="Times New Roman"/>
        <family val="1"/>
      </rPr>
      <t xml:space="preserve">yes for a </t>
    </r>
    <r>
      <rPr>
        <b/>
        <u/>
        <sz val="8"/>
        <rFont val="Times New Roman"/>
        <family val="1"/>
      </rPr>
      <t>GASBS No. 96</t>
    </r>
    <r>
      <rPr>
        <sz val="8"/>
        <rFont val="Times New Roman"/>
        <family val="1"/>
      </rPr>
      <t xml:space="preserve"> subscription impairment, provide the reduction in the subscription asset and liability resulting from the impairment.  If applicable, provide the </t>
    </r>
  </si>
  <si>
    <t>impairment loss in excess of the reduction of the asset and liability line item.</t>
  </si>
  <si>
    <r>
      <t>Part 1</t>
    </r>
    <r>
      <rPr>
        <sz val="8"/>
        <rFont val="Times New Roman"/>
        <family val="1"/>
      </rPr>
      <t>:  The purpose of this tab is to gather information regarding the above statements.</t>
    </r>
  </si>
  <si>
    <r>
      <t xml:space="preserve">  LT Operator Installment Payment Liabilities (</t>
    </r>
    <r>
      <rPr>
        <b/>
        <u/>
        <sz val="10"/>
        <rFont val="Times New Roman"/>
        <family val="1"/>
      </rPr>
      <t>GASBS No. 94</t>
    </r>
    <r>
      <rPr>
        <sz val="10"/>
        <rFont val="Times New Roman"/>
        <family val="1"/>
      </rPr>
      <t>)</t>
    </r>
  </si>
  <si>
    <r>
      <t>LT Operator Installment Liabilities (</t>
    </r>
    <r>
      <rPr>
        <b/>
        <u/>
        <sz val="10"/>
        <rFont val="Times New Roman"/>
        <family val="1"/>
      </rPr>
      <t>GASBS No. 94)</t>
    </r>
    <r>
      <rPr>
        <sz val="10"/>
        <rFont val="Times New Roman"/>
        <family val="1"/>
      </rPr>
      <t xml:space="preserve"> (Part 6)</t>
    </r>
  </si>
  <si>
    <r>
      <t>LT Operator Installment Payment Liabilities (</t>
    </r>
    <r>
      <rPr>
        <b/>
        <u/>
        <sz val="9"/>
        <color rgb="FF000000"/>
        <rFont val="Times New Roman"/>
        <family val="1"/>
      </rPr>
      <t>GASBS No. 94</t>
    </r>
    <r>
      <rPr>
        <sz val="9"/>
        <color indexed="8"/>
        <rFont val="Times New Roman"/>
        <family val="1"/>
      </rPr>
      <t>) - Due Within One Year</t>
    </r>
  </si>
  <si>
    <t>LT Operator Installment Payment Liabilities</t>
  </si>
  <si>
    <t>Financed Purchase Obligations</t>
  </si>
  <si>
    <t>LT SBITA Liabilities</t>
  </si>
  <si>
    <r>
      <t>Part 4:  Long-term Lease Liability (</t>
    </r>
    <r>
      <rPr>
        <b/>
        <u/>
        <sz val="10"/>
        <rFont val="Times New Roman"/>
        <family val="1"/>
      </rPr>
      <t>GASBS No. 87</t>
    </r>
    <r>
      <rPr>
        <b/>
        <sz val="10"/>
        <rFont val="Times New Roman"/>
        <family val="1"/>
      </rPr>
      <t>) Future Payments</t>
    </r>
  </si>
  <si>
    <r>
      <t>Part 6:  Long-term Operator Installment Payment Liabilities (</t>
    </r>
    <r>
      <rPr>
        <b/>
        <u/>
        <sz val="10"/>
        <rFont val="Times New Roman"/>
        <family val="1"/>
      </rPr>
      <t>GASBS No. 94</t>
    </r>
    <r>
      <rPr>
        <b/>
        <sz val="10"/>
        <rFont val="Times New Roman"/>
        <family val="1"/>
      </rPr>
      <t>)</t>
    </r>
  </si>
  <si>
    <r>
      <t>Part 7:  Long-term Subscription-Based Information Technology Arrangements Liabilities (</t>
    </r>
    <r>
      <rPr>
        <b/>
        <u/>
        <sz val="10"/>
        <rFont val="Times New Roman"/>
        <family val="1"/>
      </rPr>
      <t>GASBS No. 96</t>
    </r>
    <r>
      <rPr>
        <b/>
        <sz val="10"/>
        <rFont val="Times New Roman"/>
        <family val="1"/>
      </rPr>
      <t>)</t>
    </r>
  </si>
  <si>
    <r>
      <t>Part 7a)</t>
    </r>
    <r>
      <rPr>
        <sz val="10"/>
        <rFont val="Times New Roman"/>
        <family val="1"/>
      </rPr>
      <t>:  Did the Component Unit recognize any variable subscription payments that were NOT previously included in the measurement of the subscription liability?</t>
    </r>
  </si>
  <si>
    <r>
      <t>Part 7b)</t>
    </r>
    <r>
      <rPr>
        <sz val="10"/>
        <rFont val="Times New Roman"/>
        <family val="1"/>
      </rPr>
      <t>:  Did the Component Unit recognize any other payments for penalties or residual value guarantees that were NOT previously included in the measurement of the subscription liability?</t>
    </r>
  </si>
  <si>
    <t>Part 8:  Notes Payable</t>
  </si>
  <si>
    <t>Part 9:  Pension</t>
  </si>
  <si>
    <t>Part 10:  Other Postemployment Benefits (OPEB)</t>
  </si>
  <si>
    <t>Part 11:  Other</t>
  </si>
  <si>
    <r>
      <t>Part 6a)</t>
    </r>
    <r>
      <rPr>
        <sz val="10"/>
        <rFont val="Times New Roman"/>
        <family val="1"/>
      </rPr>
      <t>:  Did the Component Unit recognize any variable installment payments that were NOT previously included in the measurement of the Operator Installment Payment liability?</t>
    </r>
  </si>
  <si>
    <r>
      <t>Long-term Lease Liability (</t>
    </r>
    <r>
      <rPr>
        <b/>
        <u/>
        <sz val="10"/>
        <color indexed="8"/>
        <rFont val="Times New Roman"/>
        <family val="1"/>
      </rPr>
      <t>GASBS No. 87)</t>
    </r>
    <r>
      <rPr>
        <sz val="10"/>
        <color indexed="8"/>
        <rFont val="Times New Roman"/>
        <family val="1"/>
      </rPr>
      <t xml:space="preserve"> (Part 4)</t>
    </r>
  </si>
  <si>
    <r>
      <t>LT SBITA Liabilities (</t>
    </r>
    <r>
      <rPr>
        <b/>
        <u/>
        <sz val="10"/>
        <rFont val="Times New Roman"/>
        <family val="1"/>
      </rPr>
      <t>GASBS No. 96)</t>
    </r>
    <r>
      <rPr>
        <sz val="10"/>
        <rFont val="Times New Roman"/>
        <family val="1"/>
      </rPr>
      <t xml:space="preserve"> (Part 7)</t>
    </r>
  </si>
  <si>
    <t>Notes Payable (Part 8) (Note A)</t>
  </si>
  <si>
    <t>Net Pension Liability (Part 9)</t>
  </si>
  <si>
    <t>Net OPEB Liabilities (Part 10)</t>
  </si>
  <si>
    <t>Total OPEB Liabilities (Part 10)</t>
  </si>
  <si>
    <t>Other (Part 11)</t>
  </si>
  <si>
    <t>Tab 4  Parts 1 &amp; 11</t>
  </si>
  <si>
    <r>
      <rPr>
        <b/>
        <u/>
        <sz val="10"/>
        <rFont val="Times New Roman"/>
        <family val="1"/>
      </rPr>
      <t>Unrestricted</t>
    </r>
    <r>
      <rPr>
        <sz val="10"/>
        <rFont val="Times New Roman"/>
        <family val="1"/>
      </rPr>
      <t xml:space="preserve"> cash held by the Treasurer of Virginia </t>
    </r>
  </si>
  <si>
    <t xml:space="preserve"> Unrestricted Cash and Cash Equivalents - Total</t>
  </si>
  <si>
    <t xml:space="preserve"> Unrestricted Investments - Total</t>
  </si>
  <si>
    <t>Unrestricted Other Assets - Total</t>
  </si>
  <si>
    <r>
      <t xml:space="preserve">a. </t>
    </r>
    <r>
      <rPr>
        <b/>
        <sz val="10"/>
        <rFont val="Times New Roman"/>
        <family val="1"/>
      </rPr>
      <t xml:space="preserve"> </t>
    </r>
    <r>
      <rPr>
        <b/>
        <u/>
        <sz val="10"/>
        <rFont val="Times New Roman"/>
        <family val="1"/>
      </rPr>
      <t>Unrestricted</t>
    </r>
    <r>
      <rPr>
        <b/>
        <sz val="10"/>
        <rFont val="Times New Roman"/>
        <family val="1"/>
      </rPr>
      <t xml:space="preserve"> Cash Equivalents held with Treasurer of VA (excludes LGIP &amp; SNAP):</t>
    </r>
  </si>
  <si>
    <r>
      <t>b.</t>
    </r>
    <r>
      <rPr>
        <b/>
        <sz val="10"/>
        <rFont val="Times New Roman"/>
        <family val="1"/>
      </rPr>
      <t xml:space="preserve">  </t>
    </r>
    <r>
      <rPr>
        <b/>
        <u/>
        <sz val="10"/>
        <rFont val="Times New Roman"/>
        <family val="1"/>
      </rPr>
      <t>Restricted</t>
    </r>
    <r>
      <rPr>
        <b/>
        <sz val="10"/>
        <rFont val="Times New Roman"/>
        <family val="1"/>
      </rPr>
      <t xml:space="preserve"> Cash Equivalents held with Treasurer of VA (excludes LGIP &amp; SNAP):</t>
    </r>
  </si>
  <si>
    <r>
      <t xml:space="preserve">c.  </t>
    </r>
    <r>
      <rPr>
        <b/>
        <u/>
        <sz val="10"/>
        <rFont val="Times New Roman"/>
        <family val="1"/>
      </rPr>
      <t>Unrestricted</t>
    </r>
    <r>
      <rPr>
        <b/>
        <sz val="10"/>
        <rFont val="Times New Roman"/>
        <family val="1"/>
      </rPr>
      <t xml:space="preserve"> Investments held with Treasurer of VA (excludes SNAP):</t>
    </r>
  </si>
  <si>
    <r>
      <t xml:space="preserve">d.  </t>
    </r>
    <r>
      <rPr>
        <b/>
        <u/>
        <sz val="10"/>
        <rFont val="Times New Roman"/>
        <family val="1"/>
      </rPr>
      <t>Restricted</t>
    </r>
    <r>
      <rPr>
        <b/>
        <sz val="10"/>
        <rFont val="Times New Roman"/>
        <family val="1"/>
      </rPr>
      <t xml:space="preserve"> Investments held with Treasurer of VA (excludes SNAP):</t>
    </r>
  </si>
  <si>
    <r>
      <t xml:space="preserve">a.  For the </t>
    </r>
    <r>
      <rPr>
        <b/>
        <u/>
        <sz val="10"/>
        <rFont val="Times New Roman"/>
        <family val="1"/>
      </rPr>
      <t>Unrestricted</t>
    </r>
    <r>
      <rPr>
        <b/>
        <sz val="10"/>
        <rFont val="Times New Roman"/>
        <family val="1"/>
      </rPr>
      <t xml:space="preserve"> LGIP / LGIP EM</t>
    </r>
    <r>
      <rPr>
        <sz val="10"/>
        <rFont val="Times New Roman"/>
        <family val="1"/>
      </rPr>
      <t>, provide the following:</t>
    </r>
  </si>
  <si>
    <r>
      <t xml:space="preserve">b.  For the </t>
    </r>
    <r>
      <rPr>
        <b/>
        <u/>
        <sz val="10"/>
        <rFont val="Times New Roman"/>
        <family val="1"/>
      </rPr>
      <t>Restricted</t>
    </r>
    <r>
      <rPr>
        <b/>
        <sz val="10"/>
        <rFont val="Times New Roman"/>
        <family val="1"/>
      </rPr>
      <t xml:space="preserve"> LGIP / LGIP EM</t>
    </r>
    <r>
      <rPr>
        <sz val="10"/>
        <rFont val="Times New Roman"/>
        <family val="1"/>
      </rPr>
      <t>, provide the following:</t>
    </r>
  </si>
  <si>
    <t>Are any of the entity's cash equivalents or investments NOT held with the Treasurer of VA and SNAP Individual Portfolio</t>
  </si>
  <si>
    <r>
      <t xml:space="preserve">a.  For </t>
    </r>
    <r>
      <rPr>
        <b/>
        <sz val="10"/>
        <rFont val="Times New Roman"/>
        <family val="1"/>
      </rPr>
      <t xml:space="preserve">Restricted State Non-Arbitrage Program (SNAP </t>
    </r>
    <r>
      <rPr>
        <b/>
        <u/>
        <sz val="10"/>
        <rFont val="Times New Roman"/>
        <family val="1"/>
      </rPr>
      <t>Pool</t>
    </r>
    <r>
      <rPr>
        <b/>
        <sz val="10"/>
        <rFont val="Times New Roman"/>
        <family val="1"/>
      </rPr>
      <t>) Funds</t>
    </r>
    <r>
      <rPr>
        <sz val="10"/>
        <rFont val="Times New Roman"/>
        <family val="1"/>
      </rPr>
      <t>, provide the following:</t>
    </r>
  </si>
  <si>
    <r>
      <t xml:space="preserve">b.  For </t>
    </r>
    <r>
      <rPr>
        <b/>
        <sz val="10"/>
        <rFont val="Times New Roman"/>
        <family val="1"/>
      </rPr>
      <t xml:space="preserve">Restricted SNAP </t>
    </r>
    <r>
      <rPr>
        <b/>
        <u/>
        <sz val="10"/>
        <rFont val="Times New Roman"/>
        <family val="1"/>
      </rPr>
      <t>Individual Portfolio</t>
    </r>
    <r>
      <rPr>
        <sz val="10"/>
        <rFont val="Times New Roman"/>
        <family val="1"/>
      </rPr>
      <t>, provide the following:</t>
    </r>
  </si>
  <si>
    <r>
      <t xml:space="preserve">Due </t>
    </r>
    <r>
      <rPr>
        <b/>
        <u/>
        <sz val="8"/>
        <rFont val="Times New Roman"/>
        <family val="1"/>
      </rPr>
      <t>From</t>
    </r>
    <r>
      <rPr>
        <b/>
        <sz val="8"/>
        <rFont val="Times New Roman"/>
        <family val="1"/>
      </rPr>
      <t xml:space="preserve"> Primary Government</t>
    </r>
  </si>
  <si>
    <r>
      <t xml:space="preserve">Due </t>
    </r>
    <r>
      <rPr>
        <b/>
        <u/>
        <sz val="8"/>
        <rFont val="Times New Roman"/>
        <family val="1"/>
      </rPr>
      <t>To</t>
    </r>
    <r>
      <rPr>
        <b/>
        <sz val="8"/>
        <rFont val="Times New Roman"/>
        <family val="1"/>
      </rPr>
      <t xml:space="preserve"> Primary Government</t>
    </r>
  </si>
  <si>
    <r>
      <t xml:space="preserve">Due </t>
    </r>
    <r>
      <rPr>
        <b/>
        <u/>
        <sz val="8"/>
        <rFont val="Times New Roman"/>
        <family val="1"/>
      </rPr>
      <t>From</t>
    </r>
    <r>
      <rPr>
        <b/>
        <sz val="8"/>
        <rFont val="Times New Roman"/>
        <family val="1"/>
      </rPr>
      <t xml:space="preserve"> Component Units</t>
    </r>
  </si>
  <si>
    <r>
      <t xml:space="preserve">Due </t>
    </r>
    <r>
      <rPr>
        <b/>
        <u/>
        <sz val="8"/>
        <rFont val="Times New Roman"/>
        <family val="1"/>
      </rPr>
      <t>To</t>
    </r>
    <r>
      <rPr>
        <b/>
        <sz val="8"/>
        <rFont val="Times New Roman"/>
        <family val="1"/>
      </rPr>
      <t xml:space="preserve"> Component Units</t>
    </r>
  </si>
  <si>
    <r>
      <t xml:space="preserve">Due </t>
    </r>
    <r>
      <rPr>
        <b/>
        <u/>
        <sz val="8"/>
        <rFont val="Times New Roman"/>
        <family val="1"/>
      </rPr>
      <t>To</t>
    </r>
    <r>
      <rPr>
        <b/>
        <sz val="8"/>
        <rFont val="Times New Roman"/>
        <family val="1"/>
      </rPr>
      <t xml:space="preserve"> External Parties (Fiduciary Funds)</t>
    </r>
  </si>
  <si>
    <r>
      <rPr>
        <b/>
        <u/>
        <sz val="10"/>
        <rFont val="Times New Roman"/>
        <family val="1"/>
      </rPr>
      <t>Restricted</t>
    </r>
    <r>
      <rPr>
        <sz val="10"/>
        <rFont val="Times New Roman"/>
        <family val="1"/>
      </rPr>
      <t xml:space="preserve"> cash held by the Treasurer of Virginia</t>
    </r>
  </si>
  <si>
    <r>
      <t>Note</t>
    </r>
    <r>
      <rPr>
        <b/>
        <sz val="8"/>
        <color indexed="10"/>
        <rFont val="Times New Roman"/>
        <family val="1"/>
      </rPr>
      <t>:  Only complete this spreadsheet if beginning net position amounts have been restated.</t>
    </r>
  </si>
  <si>
    <t>Contributions to Term and Permanent Endowments</t>
  </si>
  <si>
    <t>Do Not Use</t>
  </si>
  <si>
    <t>Special Items</t>
  </si>
  <si>
    <t>Miscellaneous</t>
  </si>
  <si>
    <t>Capital Grants and Contributions</t>
  </si>
  <si>
    <t>Restricted for: Other</t>
  </si>
  <si>
    <t>Due to External Parties</t>
  </si>
  <si>
    <t>Other Accounts Payable</t>
  </si>
  <si>
    <t>Other Liabilities Due Greater Than One Year</t>
  </si>
  <si>
    <t>Other Liabilities Due Within One Year</t>
  </si>
  <si>
    <t>Other Long-term Liabilities Due Within One Year</t>
  </si>
  <si>
    <t>Other Long-term Liabilities Due Greater Than One Year</t>
  </si>
  <si>
    <t>Total Other Postemployment Benefit (OPEB) Liability - Due Greater Than One Year</t>
  </si>
  <si>
    <r>
      <t xml:space="preserve">If yes to 15a and/or 15b, do any of the OPEB plan(s) that are </t>
    </r>
    <r>
      <rPr>
        <u/>
        <sz val="9"/>
        <rFont val="Times New Roman"/>
        <family val="1"/>
      </rPr>
      <t>not</t>
    </r>
    <r>
      <rPr>
        <sz val="9"/>
        <rFont val="Times New Roman"/>
        <family val="1"/>
      </rPr>
      <t xml:space="preserve"> offered by the Commonwealth have a trust that meets the requirements of </t>
    </r>
    <r>
      <rPr>
        <b/>
        <u/>
        <sz val="9"/>
        <rFont val="Times New Roman"/>
        <family val="1"/>
      </rPr>
      <t>GASBS No. 75</t>
    </r>
    <r>
      <rPr>
        <sz val="9"/>
        <rFont val="Times New Roman"/>
        <family val="1"/>
      </rPr>
      <t xml:space="preserve"> paragraph 4?</t>
    </r>
  </si>
  <si>
    <r>
      <t xml:space="preserve">Are insurance recoveries reported on the financial statement template that are </t>
    </r>
    <r>
      <rPr>
        <b/>
        <sz val="9"/>
        <rFont val="Times New Roman"/>
        <family val="1"/>
      </rPr>
      <t>not</t>
    </r>
    <r>
      <rPr>
        <sz val="9"/>
        <rFont val="Times New Roman"/>
        <family val="1"/>
      </rPr>
      <t xml:space="preserve"> already reported on TAB 9 - Imprmnt. of Cap. Assets, Part 1D and are </t>
    </r>
    <r>
      <rPr>
        <b/>
        <sz val="9"/>
        <rFont val="Times New Roman"/>
        <family val="1"/>
      </rPr>
      <t>not</t>
    </r>
    <r>
      <rPr>
        <sz val="9"/>
        <rFont val="Times New Roman"/>
        <family val="1"/>
      </rPr>
      <t xml:space="preserve"> for pollution remediation? (See Authoritative Literature/Guidance for Preparation of GAAP Basis Fund Financial Statement Templates.)
</t>
    </r>
    <r>
      <rPr>
        <b/>
        <u/>
        <sz val="9"/>
        <rFont val="Times New Roman"/>
        <family val="1"/>
      </rPr>
      <t>Note</t>
    </r>
    <r>
      <rPr>
        <b/>
        <sz val="9"/>
        <rFont val="Times New Roman"/>
        <family val="1"/>
      </rPr>
      <t>:</t>
    </r>
    <r>
      <rPr>
        <sz val="9"/>
        <rFont val="Times New Roman"/>
        <family val="1"/>
      </rPr>
      <t xml:space="preserve">  This includes current year insurance recoveries for capital assets impaired in prior years.  It also includes all other insurance recoveries (i.e. recoveries from embezzlement of cash, theft).  Insurance recoveries should be reported on the financial statement template as "Program Revenue - Operating Grants and  Contributions," "Program Revenue - Capital Grants and Contributions," or "Extraordinary Item."  
</t>
    </r>
  </si>
  <si>
    <t>Other Receivables, net (include description)</t>
  </si>
  <si>
    <t xml:space="preserve">  Other Receivables (Provide descriptions):</t>
  </si>
  <si>
    <r>
      <t xml:space="preserve">  Lease Receivables (</t>
    </r>
    <r>
      <rPr>
        <b/>
        <u/>
        <sz val="8"/>
        <rFont val="Times New Roman"/>
        <family val="1"/>
      </rPr>
      <t>GASBS No. 87</t>
    </r>
    <r>
      <rPr>
        <sz val="8"/>
        <rFont val="Times New Roman"/>
        <family val="1"/>
      </rPr>
      <t>)</t>
    </r>
  </si>
  <si>
    <t>Due to Other Governments (i.e. Federal/Local Govts)</t>
  </si>
  <si>
    <r>
      <rPr>
        <i/>
        <sz val="8"/>
        <rFont val="Times New Roman"/>
        <family val="1"/>
      </rPr>
      <t>and Availability Payment Arrangements</t>
    </r>
    <r>
      <rPr>
        <sz val="8"/>
        <rFont val="Times New Roman"/>
        <family val="1"/>
      </rPr>
      <t>, and</t>
    </r>
    <r>
      <rPr>
        <i/>
        <sz val="8"/>
        <rFont val="Times New Roman"/>
        <family val="1"/>
      </rPr>
      <t xml:space="preserve"> </t>
    </r>
    <r>
      <rPr>
        <b/>
        <u/>
        <sz val="8"/>
        <rFont val="Times New Roman"/>
        <family val="1"/>
      </rPr>
      <t>GASBS No. 96</t>
    </r>
    <r>
      <rPr>
        <i/>
        <sz val="8"/>
        <rFont val="Times New Roman"/>
        <family val="1"/>
      </rPr>
      <t>, Subscription-based Information Technology Arrangements</t>
    </r>
    <r>
      <rPr>
        <b/>
        <sz val="8"/>
        <rFont val="Times New Roman"/>
        <family val="1"/>
      </rPr>
      <t>:</t>
    </r>
  </si>
  <si>
    <t>This column is from the CY Vlookup file (Agency names &amp; numbers), the CU and HEI tabs (combined and then sorted to be in alphabetic order)</t>
  </si>
  <si>
    <t>This column is from the CY Vlookup file (Agency names &amp; numbers), the ALL AGENCY TABLE tab (sorted to be in alphabetic order)</t>
  </si>
  <si>
    <r>
      <rPr>
        <b/>
        <u/>
        <sz val="8"/>
        <rFont val="Times New Roman"/>
        <family val="1"/>
      </rPr>
      <t>Note:</t>
    </r>
    <r>
      <rPr>
        <sz val="8"/>
        <rFont val="Times New Roman"/>
        <family val="1"/>
      </rPr>
      <t xml:space="preserve"> Don't include 9(C) REVENUE BONDS or 9(D) REVENUE BONDS</t>
    </r>
  </si>
  <si>
    <t>COMMISSIONERS FOR THE PROMOTION OF UNIFORMITY OF LEGISLATION IN THE UNITED STATES</t>
  </si>
  <si>
    <t>SECRETARY OF NATURAL AND HISTORIC RESOURCES</t>
  </si>
  <si>
    <t>SECRETARY OF PUBLIC SAFETY AND HOMELAND SECURITY</t>
  </si>
  <si>
    <t>DEPARTMENT OF TRANSPORTATION TRANSFER PAYMENTS</t>
  </si>
  <si>
    <t>DEPARTMENT OF BEHAVIORAL HEALTH AND DEVELOPMENTAL SERVICES</t>
  </si>
  <si>
    <t>OPIOID ABATEMENT AUTHORITY</t>
  </si>
  <si>
    <t>BROWN V BOARD OF EDUCATION SCHOLARSHIP COMMITTEE</t>
  </si>
  <si>
    <t>DEPARTMENT OF TREASURY - TRUST FUNDS</t>
  </si>
  <si>
    <t xml:space="preserve">DEPARTMENT OF TREASURY - STATEWIDE ACTIVITIES  </t>
  </si>
  <si>
    <t>BRIGHTPOINT COMMUNITY COLLEGE</t>
  </si>
  <si>
    <t>COOPERATIVE EXTENSION AND AGRICULTURAL RESEARCH SERVICES</t>
  </si>
  <si>
    <t>INSTITUTE FOR ADVANCED LEARNING AND RESEARCH</t>
  </si>
  <si>
    <t>J. SARGEANT REYNOLDS COMMUNITY COLLEGE</t>
  </si>
  <si>
    <t>LAUREL RIDGE COMMUNITY COLLEGE</t>
  </si>
  <si>
    <t>MOUNTAIN GATEWAY COMMUNITY COLLEGE</t>
  </si>
  <si>
    <t>PATRICK AND HENRY COMMUNITY COLLEGE</t>
  </si>
  <si>
    <t>SOUTHWEST VIRGINIA ENERGY RESEARCH AND DEVELOPMENT AUTHORITY</t>
  </si>
  <si>
    <t>VIRGINIA COMMONWEALTH UNIVERSITY</t>
  </si>
  <si>
    <t>VIRGINIA INSTITUTE OF MARINE SCIENCE</t>
  </si>
  <si>
    <t>VIRGINIA PENINSULA COMMUNITY COLLEGE</t>
  </si>
  <si>
    <t>VIRGINIA POLYTECHNIC INSTITUTE AND STATE UNIVERSITY</t>
  </si>
  <si>
    <t xml:space="preserve"> Investments with the Treasurer of Virginia (excludes SNAP)</t>
  </si>
  <si>
    <t>Net Position:</t>
  </si>
  <si>
    <t>For differences above, provide explanation for the differences.  (Explanation should specify any restatements.)</t>
  </si>
  <si>
    <r>
      <t>Long-Term Lease Liability (</t>
    </r>
    <r>
      <rPr>
        <b/>
        <u/>
        <sz val="9"/>
        <color indexed="8"/>
        <rFont val="Times New Roman"/>
        <family val="1"/>
      </rPr>
      <t>GASBS No. 87</t>
    </r>
    <r>
      <rPr>
        <sz val="9"/>
        <color indexed="8"/>
        <rFont val="Times New Roman"/>
        <family val="1"/>
      </rPr>
      <t>) - Due Within One Year</t>
    </r>
  </si>
  <si>
    <r>
      <t>Long-Term Lease Liability (</t>
    </r>
    <r>
      <rPr>
        <b/>
        <u/>
        <sz val="9"/>
        <color indexed="8"/>
        <rFont val="Times New Roman"/>
        <family val="1"/>
      </rPr>
      <t>GASBS No. 87</t>
    </r>
    <r>
      <rPr>
        <sz val="9"/>
        <color indexed="8"/>
        <rFont val="Times New Roman"/>
        <family val="1"/>
      </rPr>
      <t>) - Due Greater Than One Year</t>
    </r>
  </si>
  <si>
    <r>
      <t>Financed Purchase Obligations (</t>
    </r>
    <r>
      <rPr>
        <b/>
        <u/>
        <sz val="9"/>
        <color indexed="8"/>
        <rFont val="Times New Roman"/>
        <family val="1"/>
      </rPr>
      <t>GASBS Nos. 87 &amp; 94</t>
    </r>
    <r>
      <rPr>
        <sz val="9"/>
        <color indexed="8"/>
        <rFont val="Times New Roman"/>
        <family val="1"/>
      </rPr>
      <t>) - Due Within One Year</t>
    </r>
  </si>
  <si>
    <r>
      <t>Financed Purchase Obligations (</t>
    </r>
    <r>
      <rPr>
        <b/>
        <u/>
        <sz val="9"/>
        <color indexed="8"/>
        <rFont val="Times New Roman"/>
        <family val="1"/>
      </rPr>
      <t>GASBS Nos. 87 &amp; 94</t>
    </r>
    <r>
      <rPr>
        <sz val="9"/>
        <color indexed="8"/>
        <rFont val="Times New Roman"/>
        <family val="1"/>
      </rPr>
      <t>) - Due Greater Than One Year</t>
    </r>
  </si>
  <si>
    <r>
      <t>LT Operator Installment Payment Liabilities (</t>
    </r>
    <r>
      <rPr>
        <b/>
        <u/>
        <sz val="9"/>
        <color rgb="FF000000"/>
        <rFont val="Times New Roman"/>
        <family val="1"/>
      </rPr>
      <t>GASBS No. 94</t>
    </r>
    <r>
      <rPr>
        <sz val="9"/>
        <color indexed="8"/>
        <rFont val="Times New Roman"/>
        <family val="1"/>
      </rPr>
      <t>) - Due Greater Than One Yr</t>
    </r>
  </si>
  <si>
    <r>
      <t>LT Subscription-based Information Technology Arrangements Liabilities (</t>
    </r>
    <r>
      <rPr>
        <b/>
        <u/>
        <sz val="9"/>
        <color rgb="FF000000"/>
        <rFont val="Times New Roman"/>
        <family val="1"/>
      </rPr>
      <t>GASBS No. 96</t>
    </r>
    <r>
      <rPr>
        <sz val="9"/>
        <color indexed="8"/>
        <rFont val="Times New Roman"/>
        <family val="1"/>
      </rPr>
      <t>) - Due Greater Than One Yr</t>
    </r>
  </si>
  <si>
    <r>
      <t>Long-Term Lease Liability (</t>
    </r>
    <r>
      <rPr>
        <b/>
        <u/>
        <sz val="9"/>
        <rFont val="Times New Roman"/>
        <family val="1"/>
      </rPr>
      <t>GASBS No. 87</t>
    </r>
    <r>
      <rPr>
        <sz val="9"/>
        <rFont val="Times New Roman"/>
        <family val="1"/>
      </rPr>
      <t>) - Due Within One Year</t>
    </r>
  </si>
  <si>
    <r>
      <t>Long-Term Lease Liability (</t>
    </r>
    <r>
      <rPr>
        <b/>
        <u/>
        <sz val="9"/>
        <rFont val="Times New Roman"/>
        <family val="1"/>
      </rPr>
      <t>GASBS No. 87</t>
    </r>
    <r>
      <rPr>
        <sz val="9"/>
        <rFont val="Times New Roman"/>
        <family val="1"/>
      </rPr>
      <t>) - Due Greater Than One Year</t>
    </r>
  </si>
  <si>
    <r>
      <t>Financed Purchase Obligations (</t>
    </r>
    <r>
      <rPr>
        <b/>
        <u/>
        <sz val="9"/>
        <rFont val="Times New Roman"/>
        <family val="1"/>
      </rPr>
      <t>GASBS Nos. 87 &amp; 94</t>
    </r>
    <r>
      <rPr>
        <sz val="9"/>
        <rFont val="Times New Roman"/>
        <family val="1"/>
      </rPr>
      <t>) - Due Within One Year</t>
    </r>
  </si>
  <si>
    <r>
      <t>Financed Purchase Obligations (</t>
    </r>
    <r>
      <rPr>
        <b/>
        <u/>
        <sz val="9"/>
        <rFont val="Times New Roman"/>
        <family val="1"/>
      </rPr>
      <t>GASBS Nos. 87 &amp; 94</t>
    </r>
    <r>
      <rPr>
        <sz val="9"/>
        <rFont val="Times New Roman"/>
        <family val="1"/>
      </rPr>
      <t>) - Due Greater Than One Year</t>
    </r>
  </si>
  <si>
    <r>
      <t>LT Subscription-based Information Technology Arrangements Liabilities (</t>
    </r>
    <r>
      <rPr>
        <b/>
        <u/>
        <sz val="9"/>
        <rFont val="Times New Roman"/>
        <family val="1"/>
      </rPr>
      <t>GASBS No. 96</t>
    </r>
    <r>
      <rPr>
        <sz val="9"/>
        <rFont val="Times New Roman"/>
        <family val="1"/>
      </rPr>
      <t>) - Due Greater Than One Yr</t>
    </r>
  </si>
  <si>
    <r>
      <t>Financed Purchase Obligations (</t>
    </r>
    <r>
      <rPr>
        <b/>
        <u/>
        <sz val="10"/>
        <color indexed="8"/>
        <rFont val="Times New Roman"/>
        <family val="1"/>
      </rPr>
      <t>GASBS Nos. 87 &amp; 94</t>
    </r>
    <r>
      <rPr>
        <sz val="10"/>
        <color indexed="8"/>
        <rFont val="Times New Roman"/>
        <family val="1"/>
      </rPr>
      <t>) (Part 5)</t>
    </r>
  </si>
  <si>
    <r>
      <rPr>
        <b/>
        <sz val="9"/>
        <rFont val="Times New Roman"/>
        <family val="1"/>
      </rPr>
      <t>Leases</t>
    </r>
    <r>
      <rPr>
        <sz val="9"/>
        <rFont val="Times New Roman"/>
        <family val="1"/>
      </rPr>
      <t xml:space="preserve">: Does the entity have any PPP arrangements that meet the definition of a lease pursuant to </t>
    </r>
    <r>
      <rPr>
        <b/>
        <u/>
        <sz val="9"/>
        <rFont val="Times New Roman"/>
        <family val="1"/>
      </rPr>
      <t>GASBS No. 87</t>
    </r>
    <r>
      <rPr>
        <sz val="9"/>
        <rFont val="Times New Roman"/>
        <family val="1"/>
      </rPr>
      <t xml:space="preserve">, </t>
    </r>
    <r>
      <rPr>
        <i/>
        <sz val="9"/>
        <rFont val="Times New Roman"/>
        <family val="1"/>
      </rPr>
      <t>Leases</t>
    </r>
    <r>
      <rPr>
        <sz val="9"/>
        <rFont val="Times New Roman"/>
        <family val="1"/>
      </rPr>
      <t xml:space="preserve"> and meets the following criteria, pursuant to </t>
    </r>
    <r>
      <rPr>
        <b/>
        <u/>
        <sz val="9"/>
        <rFont val="Times New Roman"/>
        <family val="1"/>
      </rPr>
      <t>GASBS No. 94</t>
    </r>
    <r>
      <rPr>
        <sz val="9"/>
        <rFont val="Times New Roman"/>
        <family val="1"/>
      </rPr>
      <t xml:space="preserve">?
</t>
    </r>
    <r>
      <rPr>
        <i/>
        <sz val="9"/>
        <rFont val="Times New Roman"/>
        <family val="1"/>
      </rPr>
      <t xml:space="preserve">-existing assets of the transferor are the only underlying PPP assets
-improvements are not required to be made by the operator to the existing underlying PPP asset
-the PPP does NOT meet the definition of an SCA (question 20b above)
</t>
    </r>
    <r>
      <rPr>
        <sz val="9"/>
        <rFont val="Times New Roman"/>
        <family val="1"/>
      </rPr>
      <t xml:space="preserve">If </t>
    </r>
    <r>
      <rPr>
        <b/>
        <sz val="9"/>
        <rFont val="Times New Roman"/>
        <family val="1"/>
      </rPr>
      <t>yes</t>
    </r>
    <r>
      <rPr>
        <sz val="9"/>
        <rFont val="Times New Roman"/>
        <family val="1"/>
      </rPr>
      <t xml:space="preserve">, please follow all lease reporting requirements per </t>
    </r>
    <r>
      <rPr>
        <b/>
        <u/>
        <sz val="9"/>
        <rFont val="Times New Roman"/>
        <family val="1"/>
      </rPr>
      <t>GASBS No. 87</t>
    </r>
    <r>
      <rPr>
        <sz val="9"/>
        <rFont val="Times New Roman"/>
        <family val="1"/>
      </rPr>
      <t xml:space="preserve">.  </t>
    </r>
  </si>
  <si>
    <r>
      <t xml:space="preserve">  Financed Purchase Obligations (</t>
    </r>
    <r>
      <rPr>
        <b/>
        <u/>
        <sz val="10"/>
        <rFont val="Times New Roman"/>
        <family val="1"/>
      </rPr>
      <t>GASBS Nos. 87 &amp; 94</t>
    </r>
    <r>
      <rPr>
        <sz val="10"/>
        <rFont val="Times New Roman"/>
        <family val="1"/>
      </rPr>
      <t>)</t>
    </r>
  </si>
  <si>
    <r>
      <t>Part 5:  Financed Purchase Obligations (</t>
    </r>
    <r>
      <rPr>
        <b/>
        <u/>
        <sz val="10"/>
        <rFont val="Times New Roman"/>
        <family val="1"/>
      </rPr>
      <t>GASBS Nos. 87 &amp; 94</t>
    </r>
    <r>
      <rPr>
        <b/>
        <sz val="10"/>
        <rFont val="Times New Roman"/>
        <family val="1"/>
      </rPr>
      <t>) Future Payments</t>
    </r>
  </si>
  <si>
    <t>Cayman Islands</t>
  </si>
  <si>
    <t>Dominican Republic Peso</t>
  </si>
  <si>
    <t>United Arab Emirates Dollar</t>
  </si>
  <si>
    <t>Uruguayan Peso</t>
  </si>
  <si>
    <t>Tab 1A, Parts 7a &amp; 11-15, Tab 1B, &amp; 1C</t>
  </si>
  <si>
    <t>Total bank balance for the cash not held with the Treasurer of Virginia (sum of Part 2.2 and 4.2 above):</t>
  </si>
  <si>
    <r>
      <t>c)</t>
    </r>
    <r>
      <rPr>
        <b/>
        <sz val="10"/>
        <rFont val="Times New Roman"/>
        <family val="1"/>
      </rPr>
      <t xml:space="preserve">  </t>
    </r>
    <r>
      <rPr>
        <sz val="10"/>
        <rFont val="Times New Roman"/>
        <family val="1"/>
      </rPr>
      <t xml:space="preserve">Provide the amount in 4.2 above that is NOT covered by the FDIC or the Security for Public Deposits Act in the applicable options below: </t>
    </r>
  </si>
  <si>
    <t xml:space="preserve">Brazilian Real </t>
  </si>
  <si>
    <t xml:space="preserve">Estonian Kroon </t>
  </si>
  <si>
    <t xml:space="preserve">Pakistani Rupee </t>
  </si>
  <si>
    <t>For the Year Ended June 30, 2024</t>
  </si>
  <si>
    <t xml:space="preserve">a) Is the sum of Unrestricted/Restricted Cash Equivalents Not held with the Treasurer of Virginia (excludes SNAP) and  </t>
  </si>
  <si>
    <t>Restricted Receivables, Net</t>
  </si>
  <si>
    <t>Analyst initials &amp; date completed:</t>
  </si>
  <si>
    <t>KW 1/23/24</t>
  </si>
  <si>
    <t>NC 2/15/24</t>
  </si>
  <si>
    <t>NC 2/20/24</t>
  </si>
  <si>
    <t>NC 2/21/24</t>
  </si>
  <si>
    <t>NC 2/22/24</t>
  </si>
  <si>
    <t>Reviewed by Project Lead:</t>
  </si>
  <si>
    <t>NC 2/23/24</t>
  </si>
  <si>
    <t>Reviewed by AD:</t>
  </si>
  <si>
    <t>JJS 1/25/24</t>
  </si>
  <si>
    <t>JJS 4/11/24</t>
  </si>
  <si>
    <t>JJS 1/31/24</t>
  </si>
  <si>
    <t>JJS 4/19/23-This entity transitioned to SR-Other effective 7/1/22</t>
  </si>
  <si>
    <t>For the Year Ended June 30, 2023</t>
  </si>
  <si>
    <r>
      <rPr>
        <b/>
        <u/>
        <sz val="8"/>
        <rFont val="New Times Roman"/>
      </rPr>
      <t>Note:</t>
    </r>
    <r>
      <rPr>
        <sz val="8"/>
        <rFont val="New Times Roman"/>
      </rPr>
      <t xml:space="preserve"> AJEs are included in PY numbers if the CU should have known to report the correct amount.  Examples of AJEs that are </t>
    </r>
    <r>
      <rPr>
        <u/>
        <sz val="8"/>
        <rFont val="New Times Roman"/>
      </rPr>
      <t>included</t>
    </r>
    <r>
      <rPr>
        <sz val="8"/>
        <rFont val="New Times Roman"/>
      </rPr>
      <t xml:space="preserve"> are adjustments made to get the CU-4 FST to match the CU's financial statements, adjustments to NPL/NOL/TOL line items to match VRS/ DHRM amounts for CUs that issue their own separate financial statements, adjustments made to get the CU-4 FST to match the Lag Pay analysis and the Securities Lending program, and adjustments made to run restatements of beginning NP through CY activity.  Examples of AJEs that are </t>
    </r>
    <r>
      <rPr>
        <u/>
        <sz val="8"/>
        <rFont val="New Times Roman"/>
      </rPr>
      <t>excluded</t>
    </r>
    <r>
      <rPr>
        <sz val="8"/>
        <rFont val="New Times Roman"/>
      </rPr>
      <t xml:space="preserve"> are NPL/NOL/TOL entries to match VRS/ DHRM amounts for CUs that DO NOT issue their own separate financial statements (SBFA, VFHY, TRRC) and entries to reverse the beginning NP impact of PY adjusting journal entries done by DOA.  See the "Diff" tab for a reconciliation between the PY ACFR and this file.</t>
    </r>
  </si>
  <si>
    <t>DO NOT HIDE OR DELETE GREY COLOUMNS</t>
  </si>
  <si>
    <t>AJE's</t>
  </si>
  <si>
    <t>Southwest Virginia Energy Research and Development Authority</t>
  </si>
  <si>
    <t>Virginia University Research Partnership</t>
  </si>
  <si>
    <t>Virginia Sesquicentennial of the American Civil War Foundation (DLS)</t>
  </si>
  <si>
    <t>Virginia Universities Clean Energy Development and Economic Stimulus Foundation</t>
  </si>
  <si>
    <t>Danville Science Center, Inc.</t>
  </si>
  <si>
    <t>Library of Virginia Foundation</t>
  </si>
  <si>
    <t>Science Museum of Virginia Foundation, Inc.</t>
  </si>
  <si>
    <t>Virginia Museum of Fine Arts Foundation</t>
  </si>
  <si>
    <t>Total All CUs</t>
  </si>
  <si>
    <t>Total All Cus ROUNDED</t>
  </si>
  <si>
    <t>Sum of all CUs except Foundations and VAF</t>
  </si>
  <si>
    <t>Loans Receivable, net</t>
  </si>
  <si>
    <t>NEW for FY24</t>
  </si>
  <si>
    <t>Due to Other Governments (i.e.. Federal/Local Govts)</t>
  </si>
  <si>
    <t>NEW for FY22</t>
  </si>
  <si>
    <t>LT Operator Installment Payment Liabilities (GASBS No. 94) - Due Within 1 Yr</t>
  </si>
  <si>
    <t>Financed Purchase Obligations (GASB No. 87) - Due Greater Than 1 Yr</t>
  </si>
  <si>
    <t>LT Operator Installment Payment Liabilities (GASBS No. 94) - Due Greater Than 1 Yr</t>
  </si>
  <si>
    <t>Capital Projects Construction/ Capital Acquisition</t>
  </si>
  <si>
    <t>Check - Total Capital Assets (excl. Foundations)</t>
  </si>
  <si>
    <t xml:space="preserve">   Total Nondepreciable Capital Assets</t>
  </si>
  <si>
    <r>
      <t xml:space="preserve">  Right-to-Use underlying PPP Intangible Assets (</t>
    </r>
    <r>
      <rPr>
        <b/>
        <u/>
        <sz val="8"/>
        <rFont val="New Times Roman"/>
      </rPr>
      <t>GASBS 94</t>
    </r>
    <r>
      <rPr>
        <sz val="8"/>
        <rFont val="New Times Roman"/>
      </rPr>
      <t>)</t>
    </r>
  </si>
  <si>
    <t>New for FY2024</t>
  </si>
  <si>
    <t>Matches Cap Assets Footnote file from FY22</t>
  </si>
  <si>
    <t>link from above</t>
  </si>
  <si>
    <t>NPL, NOL, TOL AJE's not included (VOF,</t>
  </si>
  <si>
    <t>Sum of LT Liabilities (excl. Foundations)</t>
  </si>
  <si>
    <t>Check - Total LT Liabilities (excl. Foundations)</t>
  </si>
  <si>
    <t>VFHY, SBFA, TRRC)</t>
  </si>
  <si>
    <t xml:space="preserve">Bonds Payable </t>
  </si>
  <si>
    <t>LT Lease Liabilities</t>
  </si>
  <si>
    <t>LT Operator Installment Payment Liabilities (GASBS No. 94)</t>
  </si>
  <si>
    <t xml:space="preserve">Net Other Postemployment Benefits </t>
  </si>
  <si>
    <t>Total Other Postemployment Benefits</t>
  </si>
  <si>
    <t>Matches LT Debt CU4 file from FY22</t>
  </si>
  <si>
    <t>1. To run insignificant restatement through current year activity so CY beginning Net Position matches PY ending NP:
Operating &amp; Nonoperating Expense             359,744
                   Beg. Net Position                                                                       359,744
2. To allocate Salaries Payable per the Lag Pay analysis:
Salary/ Wages Payable                                   6,000
                   Due to External Parties (Fiduciary Funds)                               6,000
3. To reclass NOL to agree to NOL Program:
Net OPEB Liability - Due within one year    200,855
                  Net OPEB Liability - Due greater than one year                     200,855</t>
  </si>
  <si>
    <t xml:space="preserve">1. To match Due to PMG with the Health Insurance Fund analysis and match Due to Fiduciary with VRS analysis:
Salary/ Wages Payable                                   18,930
                   Due to External Parties (Fiduciary Funds)             13,608
                   Due to Primary Government                                        5,322
2. To run insignificant restatement through current year activity so CY beginning Net Position matches PY ending NP:
Beginning Net Position                                       8,018
                   Operating and Nonoperating Expense                      8,018
                             </t>
  </si>
  <si>
    <r>
      <t xml:space="preserve">1. To reclass negative security lending revenue:
PR - Income from Security Lending Transactions                                   3,698
                    GR - Income from Security Lending Transactions                                             3,698
2.  To record Salaries Payable for wages incurred as of 6/30/23 but not paid until FY24 per the Lag Pay analysis:
Program Expenses - Op &amp; Nonoperating Expenses                              2,531
                  Salary/ Wages Payable                                                                                              2,531         
</t>
    </r>
    <r>
      <rPr>
        <i/>
        <sz val="8"/>
        <color rgb="FFFF0000"/>
        <rFont val="New Times Roman"/>
      </rPr>
      <t xml:space="preserve">Net Position impact of ($2,531) </t>
    </r>
    <r>
      <rPr>
        <sz val="8"/>
        <color rgb="FFFF0000"/>
        <rFont val="New Times Roman"/>
      </rPr>
      <t xml:space="preserve">        </t>
    </r>
  </si>
  <si>
    <t xml:space="preserve">1. To match Due to PMG with the Health Insurance Fund analysis:
Salaries Payable                                                             51,689
            Due to Primary Government                                                              51,689
2. To correct Net Position - restricted for OPEB (VSDP) to match the Net OPEB number for VSDP provided by VRS:
Unrestricted Net Position                                               740
              Net Position - Restricted - Net OPEB Asset related                      740
</t>
  </si>
  <si>
    <t>1. To allocate Salaries Payable per the Lag Pay analysis:
Salary/Wages Payable                           8,770
                    Due to External Parties (Fiduciary Funds)                8,770
2. To run insignificant restatement through current year activity so CY beginning Net Position matches PY ending NP:
Beginning Net Position                      439,775
                   Operating and Nonoperating Expense                      439,775</t>
  </si>
  <si>
    <t xml:space="preserve">1. To match Due to PMG with the Health Insurance Fund analysis and match Due to Fiduciary with VRS analysis:
Salary/Wages Payable                                       57,704
Operating and Nonoperating Expenses        648,773
Due to External Parties (Fiduciary Funds)      2,000                   
               Due to Primary Government                                     708,477
2. To reclass insignificant amount to ensure Due to/from balance in the ACFR:
Other Receivables, net                                    113,143
                     Due from Primary Government                            626
                     Due from Component Units                                112,517
</t>
  </si>
  <si>
    <t xml:space="preserve">1. To allocate salary expense to correct line item based on VRS and Health Insurance Fund numbers:
Salary/Wages Payable                                                      54,121
             Due to External Parties (Fiduciary Funds)                             28,000
              Due to Primary Government                                                     26,121
2. To correct Net Position - restricted for OPEB (VSDP) to match Net OPEB number for VSDP provided by VRS:
Net Position - Restricted for OPEB - VSDP                 12,613
              Unrestricted Net Position                                                       12,613
3. To reclass Total OPEB Liability due within one year, based on FMA's GASBS No. 75 supplemental entries:
Total OPEB Liability - Due Greater than one year         8,961
             Total OPEB Liability - Due Within one year                            8,961
            </t>
  </si>
  <si>
    <t xml:space="preserve">1. To run insignificant restatement through current year activity so CY beginning Net Position matches PY ending NP:
 Beginning Net Position                                   22,039
                   Operating and Nonoperating Expense                     22,039
                  </t>
  </si>
  <si>
    <t>1. To reclass Grant Income as Contributions to Term Endowments to ensure ACFR reporting consistency:
Operating Grants and Contributions          218,907
                    Contributions to Term Endowments            218,907</t>
  </si>
  <si>
    <t>1. To  reduce bonds payable due within one year to match principal due in FY23 reported on LT Liabilities tab:
Bonds Payable w/in 1 yr                                                      2,363,000 
            Bonds Payable greater than 1 yr                                                                  2,363,000</t>
  </si>
  <si>
    <t>1. To reclass Restricted NP to tie to financial statements
NP - Restricted - Gifts and Grants          2,329,500
                 NP - Restricted - Nonexpendable             2,329,500</t>
  </si>
  <si>
    <t xml:space="preserve">1. To reclass temporarily restricted Contributions and Grant income as Contributions to Term Endowments to ensure ACFR reporting consistency:
PR - Operating Grants &amp; Contributions                    2,068,756
                   Contributions to Term Endowments                                     2,068,756
</t>
  </si>
  <si>
    <t>Virginia Biosciences Development Center</t>
  </si>
  <si>
    <t>Virginia Horse Center Foundation</t>
  </si>
  <si>
    <t>1. To reclassify current portion of unamortized premium to Bonds Payable due Greater than one year:
Bonds Payable due within one year                 26,421,782
                    Bonds Payable due greater than one year                             26,421,782
2. To reclass restricted receivables
Restricted Receivables, net                        4,409,954,469
              Loans/Mortgages Receivable, net                                                 4,394,064,033
              Other Receivables                                                                            15,890,436</t>
  </si>
  <si>
    <t xml:space="preserve">1. To reclass Long-term SBITA Liabilities to the proper line items to match VHDA's Financial Statements:
Accounts Payable Other                                                             6,273,455
Other LT Liabilities Due Greater Than One Year                  11,312,423 
                    Long-term SBITA Liabilities Due Within One Year                                        6,273,455
                    Long-term SBITA Liabilities Due greater than One Year                             11,312,423
2. To reclass restricted receivables
Restricted Receivables, net                                                       6,671,769,938
                         Loans/Mortgages Receivable, net                                                                6,671,535,116
                         Other Receivables                                                                                            234,822                    </t>
  </si>
  <si>
    <t xml:space="preserve">1. To adjust Bonds Payable Due Within One Year to match VPA's Financial Statements:
Bonds Payable Due Within One Year                                                  3,796,208
                    Bonds Payable Due Greater Than One Year                                                           3,796,208
2. To reclass items into A/R to ensure ACFR reporting consistency for Due from PMG:
Other Receivables                                                                                   26,797,680
                    Due from Primary Gov't                                                                                               26,797,680
3. To match Due to Fiduciary with VRS analysis:
Salaries/Wages Payable                                                                         7,000
                    Due to External Parties (Fiduciary Funds)                                                              7,000
4. To correct the Securities Lending Cash and Liability amounts and record the related income and expenses:
Cash Equivalents with the Treasurer - Securities Lending              1,648,397
Expenses for Security Lending Transactions                                       298,978
                    Obligations under the Securities Lending Program                                             1,648,397
                    Income from Security Lending Transactions                                                          298,978   
5. To reclass Lease Receivable out of Other Assets and into Other A/R to match VPA's Financial Statements:
Other Receivables                                                                                   54,408,000
                    Other Assets                                                                                                                 54,408,000
6. To reclass TOL to NOL per audited statements and recon
Total OPEB Liability - Due Greater than One Year                                910,000
                   Net OPEB Liability - Due Greater than One Year                                                       910,000
</t>
  </si>
  <si>
    <t>1. To reclass LGIP EM amounts:
 Local Government Investment Pool - Investments      41,196,264
                   Local Government Investment Pool - Cash Equivalents               41,196,264
2. To reclassify salary payable for HIF due to allocation:
Operating and Nonoperating Expenses                          107,644
                                Due to Primary Government                                                       107,644</t>
  </si>
  <si>
    <t xml:space="preserve">1. To correct Net Position - restricted for OPEB (VSDP) to match VPRA's GASBS No. 75 supplemental entries:
Unrestricted Net Position                                                  68,813
             Net Position - Restricted for OPEB - VSDP                                   68,813
2.  To reclass items into Other Liabilities and Due to External Parties to ensure ACFR reporting consistency for Due to PMG:
Due to the Primary Government                                       18,000
             Due to External Parties (Fiduciary Funds)                                  18,000
3. To reclass Prepaids from Other Assets to match VPRA's Financial Statements:
Prepaid Items                                                                  1,054,682
             Other Assets                                                                                     1,054,682
            </t>
  </si>
  <si>
    <t xml:space="preserve">1. To correct revenue classifications to ensure ACFR reporting consistency:
PR - Operating Grants and Contributions                        3,547,031
GR - Unrestricted Grants and Contributions                    407,199
                   GR - Investment Earnings                                                                3,634,990
                   GR - Contributions to Perm Endowment                                       319,240
2. To reclass Special Item to Miscellaneous Income:
Special Items                                                                          727,615
                         Miscellaneous                                                                               727,615
</t>
  </si>
  <si>
    <t>Virginia Solar Energy Development Authority</t>
  </si>
  <si>
    <t>FY23 Net Position, Ending:</t>
  </si>
  <si>
    <t>Check to above</t>
  </si>
  <si>
    <t>Virginia School for the Deaf and Blind Foundation
Preliminary</t>
  </si>
  <si>
    <t>Virginia Outdoors Foundation
Preliminary</t>
  </si>
  <si>
    <t>Virginia Foundation for Healthy Youth
Preliminary</t>
  </si>
  <si>
    <t>Virginia Land Conservation Foundation
Preliminary</t>
  </si>
  <si>
    <t>Virginia Economic Development Partnership
Preliminary</t>
  </si>
  <si>
    <t>Virginia Small Business Financing Authority
Preliminary</t>
  </si>
  <si>
    <t>Virginia Tourism Authority
Preliminary</t>
  </si>
  <si>
    <t>Tobacco Region Revitalization Commission 
Preliminary</t>
  </si>
  <si>
    <t>Assistive Technology Loan Fund Authority
Preliminary</t>
  </si>
  <si>
    <t>Fort Monroe Authority
Preliminary</t>
  </si>
  <si>
    <t>Virginia Health Workforce Development Authority
Preliminary</t>
  </si>
  <si>
    <t>A.L. Philpott Manufacturing Extension Partnership
Preliminary</t>
  </si>
  <si>
    <t>Danville Science Center, Inc.
Preliminary</t>
  </si>
  <si>
    <t>Hampton Roads Sanitation District Commission
Preliminary</t>
  </si>
  <si>
    <t>Library of Virginia Foundation
Preliminary</t>
  </si>
  <si>
    <t>Science Museum of Virginia Foundation, Inc.
Preliminary</t>
  </si>
  <si>
    <t>Virginia Biotechnology Research Partnership Authority
Preliminary</t>
  </si>
  <si>
    <t>Virginia Commercial Space Flight Authority
Preliminary</t>
  </si>
  <si>
    <t>Virginia Resources Authority
Preliminary</t>
  </si>
  <si>
    <t>Virginia Housing Development Authority
Preliminary</t>
  </si>
  <si>
    <t>Virginia Port Authority
Preliminary</t>
  </si>
  <si>
    <t>Virginia Public School Authority
Preliminary</t>
  </si>
  <si>
    <t>Virginia Innovation Partnership Authority
Preliminary</t>
  </si>
  <si>
    <t>Virginia Passenger Rail Authority
Preliminary</t>
  </si>
  <si>
    <t>Virginia Museum of Fine Arts Foundation
Preliminary</t>
  </si>
  <si>
    <t>Total Receivables 
as of 
June 30, 2024</t>
  </si>
  <si>
    <t>Portion of Total Receivables to be Collected After 
June 30, 2025</t>
  </si>
  <si>
    <t xml:space="preserve">  Restricted Accounts Receivable</t>
  </si>
  <si>
    <t xml:space="preserve">  Restricted Loans/Mortgage Receivable</t>
  </si>
  <si>
    <t xml:space="preserve">  Restricted Taxes Receivable</t>
  </si>
  <si>
    <t xml:space="preserve">  Restricted Interest Receivable</t>
  </si>
  <si>
    <t xml:space="preserve">  Restricted Other Receivables (provide description)</t>
  </si>
  <si>
    <t xml:space="preserve">     Total Gross Restricted Receivables</t>
  </si>
  <si>
    <r>
      <rPr>
        <sz val="8"/>
        <rFont val="Times New Roman"/>
        <family val="1"/>
      </rPr>
      <t>Allowance for Doubtful Accounts</t>
    </r>
    <r>
      <rPr>
        <b/>
        <sz val="8"/>
        <rFont val="Times New Roman"/>
        <family val="1"/>
      </rPr>
      <t xml:space="preserve">
(Enter as a negative):</t>
    </r>
  </si>
  <si>
    <t xml:space="preserve">     Total Restricted Receivables, Net</t>
  </si>
  <si>
    <t>Tab 2 - Part 2 Restricted Receivables</t>
  </si>
  <si>
    <t xml:space="preserve">  Restricted Local School Bonds Receivable</t>
  </si>
  <si>
    <t>Tab 2 - Part 3 Due To/From</t>
  </si>
  <si>
    <t>OFFICE OF DATA GOVERNANCE AND ANALYTICS</t>
  </si>
  <si>
    <t>DEPARTMENT OF WORKFORCE DEVELOPMENT AND ADVANCEMENT</t>
  </si>
  <si>
    <t>AMERICAN REVOLUTION 250 COMMISSION</t>
  </si>
  <si>
    <t>DAVIS &amp; MCDANIEL VETERANS CARE CENTER</t>
  </si>
  <si>
    <t>July 1, 2023</t>
  </si>
  <si>
    <t>June 30, 2024</t>
  </si>
  <si>
    <r>
      <t xml:space="preserve">
Other non-right-to-use capital assets are depreciated on the straight-line basis over their useful lives.  Capital assets are stated at historical cost, or in some instances, estimated historical cost with exceptions noted below regarding </t>
    </r>
    <r>
      <rPr>
        <b/>
        <u/>
        <sz val="8"/>
        <rFont val="Times New Roman"/>
        <family val="1"/>
      </rPr>
      <t>GASBS No. 48</t>
    </r>
    <r>
      <rPr>
        <sz val="8"/>
        <rFont val="Times New Roman"/>
        <family val="1"/>
      </rPr>
      <t xml:space="preserve">.  Donated capital assets received prior to fiscal year 2016 are stated at fair market value at the time of donation.  Pursuant to </t>
    </r>
    <r>
      <rPr>
        <b/>
        <u/>
        <sz val="8"/>
        <rFont val="Times New Roman"/>
        <family val="1"/>
      </rPr>
      <t xml:space="preserve"> GASBS No. 72</t>
    </r>
    <r>
      <rPr>
        <sz val="8"/>
        <rFont val="Times New Roman"/>
        <family val="1"/>
      </rPr>
      <t xml:space="preserve">, </t>
    </r>
    <r>
      <rPr>
        <i/>
        <sz val="8"/>
        <rFont val="Times New Roman"/>
        <family val="1"/>
      </rPr>
      <t>Fair Value Measurement and Application</t>
    </r>
    <r>
      <rPr>
        <sz val="8"/>
        <rFont val="Times New Roman"/>
        <family val="1"/>
      </rPr>
      <t xml:space="preserve">, donated capital assets, donated works of art, historical treasures, and similar assets, and capital assets received in a service concession arrangement are recorded at acquisition value except as noted below regarding </t>
    </r>
    <r>
      <rPr>
        <b/>
        <u/>
        <sz val="8"/>
        <rFont val="Times New Roman"/>
        <family val="1"/>
      </rPr>
      <t>GASBS No. 48</t>
    </r>
    <r>
      <rPr>
        <sz val="8"/>
        <rFont val="Times New Roman"/>
        <family val="1"/>
      </rPr>
      <t xml:space="preserve">. Pursuant to </t>
    </r>
    <r>
      <rPr>
        <b/>
        <u/>
        <sz val="8"/>
        <rFont val="Times New Roman"/>
        <family val="1"/>
      </rPr>
      <t>GASBS No. 81</t>
    </r>
    <r>
      <rPr>
        <sz val="8"/>
        <rFont val="Times New Roman"/>
        <family val="1"/>
      </rPr>
      <t xml:space="preserve">, if the real estate asset for the life-interest in real estate is recognized as a capital asset rather than an investment, it should be measured at acquisition value.
Other Right-to-Use lease capital assets subject to the requirements of </t>
    </r>
    <r>
      <rPr>
        <b/>
        <u/>
        <sz val="8"/>
        <rFont val="Times New Roman"/>
        <family val="1"/>
      </rPr>
      <t>GASBS No. 87</t>
    </r>
    <r>
      <rPr>
        <sz val="8"/>
        <rFont val="Times New Roman"/>
        <family val="1"/>
      </rPr>
      <t xml:space="preserve"> are 1) recorded when the present value is equal to or greater than the entity's capitalization policy, 2) the contract term is greater than 12 months, and 3) amortized based on the lease term or the asset's useful life, whichever is shorter.  
Other Right-to Use underlying PPP Intangible assets are 1) subject to the requirements of </t>
    </r>
    <r>
      <rPr>
        <b/>
        <u/>
        <sz val="8"/>
        <rFont val="Times New Roman"/>
        <family val="1"/>
      </rPr>
      <t>GASBS No. 94</t>
    </r>
    <r>
      <rPr>
        <sz val="8"/>
        <rFont val="Times New Roman"/>
        <family val="1"/>
      </rPr>
      <t xml:space="preserve"> when the entity is considered the operator in a public-private and/or public-public partnership arrangement (PPP), and 2) amortized over the shorter of the PPP term or useful life of the underlying PPP asset.
Other Right-to-Use Subscription based assets subject to the requirements of </t>
    </r>
    <r>
      <rPr>
        <b/>
        <u/>
        <sz val="8"/>
        <rFont val="Times New Roman"/>
        <family val="1"/>
      </rPr>
      <t>GASBS No. 96</t>
    </r>
    <r>
      <rPr>
        <sz val="8"/>
        <rFont val="Times New Roman"/>
        <family val="1"/>
      </rPr>
      <t xml:space="preserve"> are 1) recorded when the present value is $5,000 or greater, 2) the contract term is greater than 12 months, and 3) amortized based on the subscription term or the asset useful life, whichever is shorter.
For the purpose of the Annual Comprehensive Financial Report, the Commonwealth capitalizes all equipment that in the aggregate has a cost or value greater than or equal to $50,000 and an expected useful life of greater than two years.  For the purpose of the Annual Comprehensive Financial Report, the Commonwealth capitalizes SBITA assets valued greater than or equal to $5,000, and all other assets that in the aggregate have a cost or value greater than or equal to $100,000 and an expected useful life of greater than two years.  
</t>
    </r>
    <r>
      <rPr>
        <b/>
        <u/>
        <sz val="8"/>
        <rFont val="Times New Roman"/>
        <family val="1"/>
      </rPr>
      <t>GASBS No. 72</t>
    </r>
    <r>
      <rPr>
        <sz val="8"/>
        <rFont val="Times New Roman"/>
        <family val="1"/>
      </rPr>
      <t xml:space="preserve"> did not amend </t>
    </r>
    <r>
      <rPr>
        <b/>
        <u/>
        <sz val="8"/>
        <rFont val="Times New Roman"/>
        <family val="1"/>
      </rPr>
      <t>GASBS No. 48</t>
    </r>
    <r>
      <rPr>
        <sz val="8"/>
        <rFont val="Times New Roman"/>
        <family val="1"/>
      </rPr>
      <t xml:space="preserve">: </t>
    </r>
    <r>
      <rPr>
        <i/>
        <sz val="8"/>
        <rFont val="Times New Roman"/>
        <family val="1"/>
      </rPr>
      <t>Sales and Pledges of Receivables and Future Revenues and Intra-Entity Transfers of Assets and Future Revenues</t>
    </r>
    <r>
      <rPr>
        <sz val="8"/>
        <rFont val="Times New Roman"/>
        <family val="1"/>
      </rPr>
      <t xml:space="preserve">, and requires that donated, purchased, or transferred capital assets between entities of the Commonwealth are considered intra-entity transfers and should be recorded at the carrying value of the transferor. Since the entity is part of the Commonwealth's financial reporting entity, the definition of "intra-entity" is not only the entity but also other entities reported in the Commonwealth's Annual Comprehensive Financial Report. To view the </t>
    </r>
    <r>
      <rPr>
        <b/>
        <u/>
        <sz val="8"/>
        <rFont val="Times New Roman"/>
        <family val="1"/>
      </rPr>
      <t>GASBS No. 48</t>
    </r>
    <r>
      <rPr>
        <sz val="8"/>
        <rFont val="Times New Roman"/>
        <family val="1"/>
      </rPr>
      <t xml:space="preserve"> Commonwealth of Virginia Intra-Entity Reporting List, go to DOA's website and click on the "Financial Statement Directives" link.
Prior to July 1, 2021, interest incurred during the construction of capital assets is included in the capitalized value of the assets.  Starting July 1, 2021, and pursuant to </t>
    </r>
    <r>
      <rPr>
        <b/>
        <u/>
        <sz val="8"/>
        <rFont val="Times New Roman"/>
        <family val="1"/>
      </rPr>
      <t>GASBS No. 89</t>
    </r>
    <r>
      <rPr>
        <sz val="8"/>
        <rFont val="Times New Roman"/>
        <family val="1"/>
      </rPr>
      <t xml:space="preserve">, </t>
    </r>
    <r>
      <rPr>
        <i/>
        <sz val="8"/>
        <rFont val="Times New Roman"/>
        <family val="1"/>
      </rPr>
      <t>Accounting for Interest Cost Incurred before the End of a Construction Period</t>
    </r>
    <r>
      <rPr>
        <sz val="8"/>
        <rFont val="Times New Roman"/>
        <family val="1"/>
      </rPr>
      <t xml:space="preserve">, interest cost incurred before the end of the construction period are recognized as an expense in the period in which the cost is incurred and is not included in the capitalized value of the assets.  Project expenses are classified as construction-in-progress if:  1) they exceed the capitalization criteria; 2) they extend the asset life, improve productivity, or improve the quality of service; and 3) they fall into the planning, acquisition, construction, improvement, renovation, repair, replacement, relocation or demolition phase of the asset life.   Note:  Construction-in-progress also includes expenses for the construction/development of internally generated intangible assets until substantially complete and operational in accordance with </t>
    </r>
    <r>
      <rPr>
        <b/>
        <u/>
        <sz val="8"/>
        <rFont val="Times New Roman"/>
        <family val="1"/>
      </rPr>
      <t>GASBS No. 51</t>
    </r>
    <r>
      <rPr>
        <sz val="8"/>
        <rFont val="Times New Roman"/>
        <family val="1"/>
      </rPr>
      <t xml:space="preserve">, </t>
    </r>
    <r>
      <rPr>
        <i/>
        <sz val="8"/>
        <rFont val="Times New Roman"/>
        <family val="1"/>
      </rPr>
      <t>Accounting and Financial Reporting for Intangible Assets</t>
    </r>
    <r>
      <rPr>
        <sz val="8"/>
        <rFont val="Times New Roman"/>
        <family val="1"/>
      </rPr>
      <t xml:space="preserve">, and then they are reclassified to the applicable intangible asset FST line item.  </t>
    </r>
  </si>
  <si>
    <t>Balance  July 1, 2023</t>
  </si>
  <si>
    <t>Balance June 30, 2024</t>
  </si>
  <si>
    <r>
      <t xml:space="preserve">Direct Borrowing as defined in </t>
    </r>
    <r>
      <rPr>
        <u/>
        <sz val="10"/>
        <rFont val="Times New Roman"/>
        <family val="1"/>
      </rPr>
      <t>GASBS No. 88</t>
    </r>
  </si>
  <si>
    <r>
      <t xml:space="preserve">Direct Placement as defined in </t>
    </r>
    <r>
      <rPr>
        <u/>
        <sz val="10"/>
        <rFont val="Times New Roman"/>
        <family val="1"/>
      </rPr>
      <t>GASBS No. 88</t>
    </r>
  </si>
  <si>
    <t>Balance July 1, 2023 (linked)</t>
  </si>
  <si>
    <t>2030-2034</t>
  </si>
  <si>
    <t>2035-2039</t>
  </si>
  <si>
    <t>2040-2044</t>
  </si>
  <si>
    <t>2050-2054</t>
  </si>
  <si>
    <t>2055-2059</t>
  </si>
  <si>
    <t>2065-2069</t>
  </si>
  <si>
    <t>2070-2074</t>
  </si>
  <si>
    <t>2075-2079</t>
  </si>
  <si>
    <t>2080-2084</t>
  </si>
  <si>
    <t>2085-2089</t>
  </si>
  <si>
    <t>Ending Balance
June 30, 2024</t>
  </si>
  <si>
    <t>Provide the Ending Balance June 30, 2024</t>
  </si>
  <si>
    <r>
      <t xml:space="preserve">Part 1) Construction Projects:  Does the entity have any construction project commitments that the component unit entered into as of June 30?  (yes or no)
If </t>
    </r>
    <r>
      <rPr>
        <b/>
        <sz val="10"/>
        <rFont val="Times New Roman"/>
        <family val="1"/>
      </rPr>
      <t>yes</t>
    </r>
    <r>
      <rPr>
        <sz val="10"/>
        <rFont val="Times New Roman"/>
        <family val="1"/>
      </rPr>
      <t>, provide a description of any construction project commitments that the component unit entered into as of June 30 and the total amount of the commitment as of June 30, 2024.
Note:  Please do not include any amounts that are reported on the Statement of Net Position.</t>
    </r>
  </si>
  <si>
    <r>
      <t xml:space="preserve">Part 2) Other Commitments:  Does the entity have any other commitment contracts, not reported above, that aggregate to $5 million or more, as of June 30, 2024?  (yes or no)
If </t>
    </r>
    <r>
      <rPr>
        <b/>
        <sz val="10"/>
        <rFont val="Times New Roman"/>
        <family val="1"/>
      </rPr>
      <t>yes</t>
    </r>
    <r>
      <rPr>
        <sz val="10"/>
        <rFont val="Times New Roman"/>
        <family val="1"/>
      </rPr>
      <t xml:space="preserve">, provide a description of any other commitment contracts, not reported above, that aggregate to $5 million or more, as of June 30, 2024.
Please submit contractually obligated and non-contractually obligated amounts separately and provide the total amount of those commitments.  For entities that use the Commonwealth's General Ledger, please do not submit any amounts that were processed as payables during July, August, or September in Cardinal using the criteria outlined in the </t>
    </r>
    <r>
      <rPr>
        <sz val="10"/>
        <color rgb="FF0000FF"/>
        <rFont val="Times New Roman"/>
        <family val="1"/>
      </rPr>
      <t xml:space="preserve">Authoritative Literature / Guidance for Preparation of GAAP Basis Fund Financial Statement Templates </t>
    </r>
    <r>
      <rPr>
        <sz val="10"/>
        <rFont val="Times New Roman"/>
        <family val="1"/>
      </rPr>
      <t>located at DOA's website.</t>
    </r>
  </si>
  <si>
    <t xml:space="preserve">Part 3) Long-term Lease Commitments:  Does the entity have any leases with a present value greater than the entity's capitalization threshold that the entity has committed to at June 30, 2024, that are NOT included on TAB 4 - LT Liabilities, because the lease term did not start during FY 2024?    
If yes, provide a description and amounts of any lease commitments with a present value greater than the entity's capitalization threshold for leases that have been committed to where the initial payment did not start during FY 2024.
</t>
  </si>
  <si>
    <t xml:space="preserve">Part 4)  Does the entity have any short-term leases to be considered as "Off-Balance Sheet Obligations" for FY 2024? (yes or no) 
For Off-Balance Sheet Obligation purposes, short-term leases are leases that have a calculated asset value of less than the entity's capitalization threshold or a lease period of 12 months or less, including all renewal options regardless of the likelihood of the options being exercised.
If yes, please provide the total present value lease obligation in aggregate for all short-term leases below.  
</t>
  </si>
  <si>
    <t xml:space="preserve">Part 5) Long-term Subscription Commitments:  Does the entity have any subscription-based information technology arrangements with a present value greater than the entity's capitalization threshold that the entity has committed to at June 30, 2024, that are NOT included on TAB 4 - LT Liabilities, because the subscription term did not start during FY 2024?    
If yes, provide a description and amount of any subscription commitments with a present value greater than the entity's capitalization threshold for subscription-based information technology arrangements that have been committed to where the initial payment did not start during FY 2024. 
</t>
  </si>
  <si>
    <t xml:space="preserve">Part 6)  Does the entity have any short-term subscription-based information technology arrangements to be considered as "Off-Balance Sheet Obligations" for FY 2024? (yes or no) 
For Off-Balance Sheet Obligation purposes, short-term subscription-based information technology arrangements have a calculated asset value of less than the entity's capitalization threshold or a subscription term of 12 months or less, including all renewal options regardless of the likelihood of the options being exercised.
If yes, please provide the total present value subscription-based information technology arrangements obligation in aggregate for all short-term subscriptions below.  
</t>
  </si>
  <si>
    <r>
      <t xml:space="preserve">Implementation of </t>
    </r>
    <r>
      <rPr>
        <b/>
        <u/>
        <sz val="8"/>
        <rFont val="Times New Roman"/>
        <family val="1"/>
      </rPr>
      <t>GASBS No. 99</t>
    </r>
    <r>
      <rPr>
        <sz val="8"/>
        <rFont val="Times New Roman"/>
        <family val="1"/>
      </rPr>
      <t xml:space="preserve">, </t>
    </r>
    <r>
      <rPr>
        <i/>
        <sz val="8"/>
        <rFont val="Times New Roman"/>
        <family val="1"/>
      </rPr>
      <t>Omnibus 2022</t>
    </r>
    <r>
      <rPr>
        <sz val="8"/>
        <rFont val="Times New Roman"/>
        <family val="1"/>
      </rPr>
      <t>, only the provisions effective for FY 24</t>
    </r>
  </si>
  <si>
    <t>After June 30, but before financial statements are issued, information may become available indicating that an asset was impaired or a material liability was incurred.  Adjustments to financial statements to reflect this information are required for amounts relating to conditions existing as of June 30, 2024.  An example of an adjustment is a loss on a trade receivable, which is confirmed by the bankruptcy of a customer.  Disclosure is necessary for events that do not relate to conditions at the balance sheet date, but make the financial statements misleading.  This disclosure should indicate the nature of the loss or loss contingency and give an estimate of the amount, or range, of loss or possible loss, or state that such an estimate cannot be made.  An example of a subsequent event requiring disclosure would be the issuance of long-term debt after the balance sheet date but before the statements were issued.</t>
  </si>
  <si>
    <r>
      <rPr>
        <b/>
        <sz val="9"/>
        <rFont val="Times New Roman"/>
        <family val="1"/>
      </rPr>
      <t>Derivative Instruments as of June 30, 2024</t>
    </r>
    <r>
      <rPr>
        <sz val="9"/>
        <rFont val="Times New Roman"/>
        <family val="1"/>
      </rPr>
      <t xml:space="preserve"> - Did the entity have any derivative instrument activity/balances during FY 2024 and/or as of June 30, 2024, as defined in </t>
    </r>
    <r>
      <rPr>
        <b/>
        <u/>
        <sz val="9"/>
        <rFont val="Times New Roman"/>
        <family val="1"/>
      </rPr>
      <t>GASBS No. 53</t>
    </r>
    <r>
      <rPr>
        <sz val="9"/>
        <rFont val="Times New Roman"/>
        <family val="1"/>
      </rPr>
      <t xml:space="preserve">? If </t>
    </r>
    <r>
      <rPr>
        <b/>
        <sz val="9"/>
        <rFont val="Times New Roman"/>
        <family val="1"/>
      </rPr>
      <t>yes</t>
    </r>
    <r>
      <rPr>
        <sz val="9"/>
        <rFont val="Times New Roman"/>
        <family val="1"/>
      </rPr>
      <t xml:space="preserve">, provide the overall category of the derivative instruments that existed as of June 30, 2024, and/or any other derivative instrument activity during FY 2024 in the space below.  
</t>
    </r>
    <r>
      <rPr>
        <b/>
        <sz val="9"/>
        <rFont val="Times New Roman"/>
        <family val="1"/>
      </rPr>
      <t>Note</t>
    </r>
    <r>
      <rPr>
        <sz val="9"/>
        <rFont val="Times New Roman"/>
        <family val="1"/>
      </rPr>
      <t xml:space="preserve">: DOA may request additional information in a separate communication. </t>
    </r>
  </si>
  <si>
    <r>
      <rPr>
        <b/>
        <sz val="9"/>
        <rFont val="Times New Roman"/>
        <family val="1"/>
      </rPr>
      <t>Deferred Outflows of Resources for FY 2024</t>
    </r>
    <r>
      <rPr>
        <sz val="9"/>
        <rFont val="Times New Roman"/>
        <family val="1"/>
      </rPr>
      <t xml:space="preserve">:  Does the entity have any of the following deferred outflows of resources to report as of June 30, 2024?  If </t>
    </r>
    <r>
      <rPr>
        <b/>
        <sz val="9"/>
        <rFont val="Times New Roman"/>
        <family val="1"/>
      </rPr>
      <t>yes</t>
    </r>
    <r>
      <rPr>
        <sz val="9"/>
        <rFont val="Times New Roman"/>
        <family val="1"/>
      </rPr>
      <t>, provide amount.  If amount is different from the amount reported on the template, either make corrections so amounts will agree or contact DOA to discuss because amounts should agree.</t>
    </r>
  </si>
  <si>
    <r>
      <rPr>
        <b/>
        <sz val="9"/>
        <rFont val="Times New Roman"/>
        <family val="1"/>
      </rPr>
      <t>Deferred Inflows of Resources for FY 2024</t>
    </r>
    <r>
      <rPr>
        <sz val="9"/>
        <rFont val="Times New Roman"/>
        <family val="1"/>
      </rPr>
      <t xml:space="preserve">:  Does the entity have any of the following deferred inflows of resources to report as of June 30, 2024?  If </t>
    </r>
    <r>
      <rPr>
        <b/>
        <sz val="9"/>
        <rFont val="Times New Roman"/>
        <family val="1"/>
      </rPr>
      <t>yes</t>
    </r>
    <r>
      <rPr>
        <sz val="9"/>
        <rFont val="Times New Roman"/>
        <family val="1"/>
      </rPr>
      <t xml:space="preserve">, provide the amounts below.  If total amount is different from the amount reported on the template, either make corrections so amounts will agree or contact DOA to discuss because amounts should agree.
</t>
    </r>
  </si>
  <si>
    <r>
      <rPr>
        <b/>
        <sz val="9"/>
        <rFont val="Times New Roman"/>
        <family val="1"/>
      </rPr>
      <t>Significant Effect on Net Position for FY 2024</t>
    </r>
    <r>
      <rPr>
        <sz val="9"/>
        <rFont val="Times New Roman"/>
        <family val="1"/>
      </rPr>
      <t xml:space="preserve">:  If the answer to any items listed in Parts 13a and/or 13b is yes, is the difference between the deferred outflows of resources or the deferred inflows of resources and the balance of the related asset or liability significant?  If </t>
    </r>
    <r>
      <rPr>
        <b/>
        <sz val="9"/>
        <rFont val="Times New Roman"/>
        <family val="1"/>
      </rPr>
      <t>yes</t>
    </r>
    <r>
      <rPr>
        <sz val="9"/>
        <rFont val="Times New Roman"/>
        <family val="1"/>
      </rPr>
      <t xml:space="preserve">, provide an explanation of the effect on net position (i.e., net investment in capital assets, restricted net position, and/or unrestricted net position) as required by </t>
    </r>
    <r>
      <rPr>
        <b/>
        <u/>
        <sz val="9"/>
        <rFont val="Times New Roman"/>
        <family val="1"/>
      </rPr>
      <t>GASBS No. 63</t>
    </r>
    <r>
      <rPr>
        <sz val="9"/>
        <rFont val="Times New Roman"/>
        <family val="1"/>
      </rPr>
      <t xml:space="preserve"> paragraph 14. 
</t>
    </r>
  </si>
  <si>
    <r>
      <t xml:space="preserve">If </t>
    </r>
    <r>
      <rPr>
        <b/>
        <sz val="9"/>
        <rFont val="Times New Roman"/>
        <family val="1"/>
      </rPr>
      <t>yes</t>
    </r>
    <r>
      <rPr>
        <sz val="9"/>
        <rFont val="Times New Roman"/>
        <family val="1"/>
      </rPr>
      <t xml:space="preserve"> to 13a, provide a description of the nonexchange financial guarantees extended to others including the type of obligations guaranteed, legal authority &amp; limits for extending the guarantees, relationship to the legally separate entities or individual(s) that issued the obligations (issuers) that are guaranteed by the entity, length of time of the guarantees, arrangements for recovering payments from the issuers, and total amount of all guarantees extended that are outstanding as of June 30, 2024.
If </t>
    </r>
    <r>
      <rPr>
        <b/>
        <sz val="9"/>
        <rFont val="Times New Roman"/>
        <family val="1"/>
      </rPr>
      <t xml:space="preserve">yes </t>
    </r>
    <r>
      <rPr>
        <sz val="9"/>
        <rFont val="Times New Roman"/>
        <family val="1"/>
      </rPr>
      <t>to 13b, provide a description of the nonexchange financial guarantees including the type of obligations guaranteed, name of the legally separate entity or individual (guarantor) that provided the guarantee to the entity and the entity's relationship to the guarantor, length of time of the guarantees, and the total amount of all guarantees received that are outstanding as of June 30, 2024.</t>
    </r>
  </si>
  <si>
    <r>
      <rPr>
        <b/>
        <u/>
        <sz val="9"/>
        <rFont val="Times New Roman"/>
        <family val="1"/>
      </rPr>
      <t>GASBS No. 72</t>
    </r>
    <r>
      <rPr>
        <sz val="9"/>
        <rFont val="Times New Roman"/>
        <family val="1"/>
      </rPr>
      <t xml:space="preserve">  addresses accounting and financial reporting issues related to fair value measurements.  The definition of fair value is the price that would be received to sell an asset or paid to transfer a liability in an orderly transaction between market participants at the measurement date.  This Statement also provides guidance for applying fair value to certain investments and disclosures related to all fair value measurements.  
This statement generally requires investments to be measured at </t>
    </r>
    <r>
      <rPr>
        <b/>
        <sz val="9"/>
        <rFont val="Times New Roman"/>
        <family val="1"/>
      </rPr>
      <t>fair value</t>
    </r>
    <r>
      <rPr>
        <sz val="9"/>
        <rFont val="Times New Roman"/>
        <family val="1"/>
      </rPr>
      <t xml:space="preserve">.  An investment is defined as a security or other asset that (a) a government holds primarily for the purpose of income or profit and (b) has a present service capacity based solely on its ability to generate cash or to be sold to generate cash.   If an investment does not have a readily determinable fair value, the statement permits, in certain circumstances, to establish fair value by using the </t>
    </r>
    <r>
      <rPr>
        <b/>
        <sz val="9"/>
        <rFont val="Times New Roman"/>
        <family val="1"/>
      </rPr>
      <t>net asset value</t>
    </r>
    <r>
      <rPr>
        <sz val="9"/>
        <rFont val="Times New Roman"/>
        <family val="1"/>
      </rPr>
      <t xml:space="preserve"> per share (or its equivalent) of the investment. 
This statement requires measurement at </t>
    </r>
    <r>
      <rPr>
        <b/>
        <sz val="9"/>
        <rFont val="Times New Roman"/>
        <family val="1"/>
      </rPr>
      <t>acquisition value</t>
    </r>
    <r>
      <rPr>
        <sz val="9"/>
        <rFont val="Times New Roman"/>
        <family val="1"/>
      </rPr>
      <t xml:space="preserve"> (an entry price) rather than fair value for donated capital assets, donated works of art, historical treasures, and similar assets, and capital assets received in a service concession arrangement.  (</t>
    </r>
    <r>
      <rPr>
        <b/>
        <u/>
        <sz val="9"/>
        <rFont val="Times New Roman"/>
        <family val="1"/>
      </rPr>
      <t>Note</t>
    </r>
    <r>
      <rPr>
        <sz val="9"/>
        <rFont val="Times New Roman"/>
        <family val="1"/>
      </rPr>
      <t xml:space="preserve">:  For use of acquisition value, </t>
    </r>
    <r>
      <rPr>
        <b/>
        <u/>
        <sz val="9"/>
        <rFont val="Times New Roman"/>
        <family val="1"/>
      </rPr>
      <t>GASBS No. 72</t>
    </r>
    <r>
      <rPr>
        <sz val="9"/>
        <rFont val="Times New Roman"/>
        <family val="1"/>
      </rPr>
      <t xml:space="preserve"> is not applicable to transactions that occurred prior to fiscal year 2016.  </t>
    </r>
    <r>
      <rPr>
        <b/>
        <u/>
        <sz val="9"/>
        <rFont val="Times New Roman"/>
        <family val="1"/>
      </rPr>
      <t>GASBS No. 72</t>
    </r>
    <r>
      <rPr>
        <sz val="9"/>
        <rFont val="Times New Roman"/>
        <family val="1"/>
      </rPr>
      <t xml:space="preserve"> does not amend </t>
    </r>
    <r>
      <rPr>
        <b/>
        <u/>
        <sz val="9"/>
        <rFont val="Times New Roman"/>
        <family val="1"/>
      </rPr>
      <t>GASBS No. 48</t>
    </r>
    <r>
      <rPr>
        <sz val="9"/>
        <rFont val="Times New Roman"/>
        <family val="1"/>
      </rPr>
      <t xml:space="preserve">, </t>
    </r>
    <r>
      <rPr>
        <i/>
        <sz val="9"/>
        <rFont val="Times New Roman"/>
        <family val="1"/>
      </rPr>
      <t>Sales and Pledges of Receivables and Future Revenues and Intra-Entity Transfers of Assets and Future Revenues</t>
    </r>
    <r>
      <rPr>
        <sz val="9"/>
        <rFont val="Times New Roman"/>
        <family val="1"/>
      </rPr>
      <t>, which requires capital assets transferred, purchased, or donated from an agency within the same financial reporting entity (intra-entity) to be reported at the carrying value of the transferor.)</t>
    </r>
  </si>
  <si>
    <r>
      <rPr>
        <b/>
        <sz val="9"/>
        <rFont val="Times New Roman"/>
        <family val="1"/>
      </rPr>
      <t>Fair Value</t>
    </r>
    <r>
      <rPr>
        <sz val="9"/>
        <rFont val="Times New Roman"/>
        <family val="1"/>
      </rPr>
      <t xml:space="preserve">:  Does the entity have items that must be reported at fair value in accordance with </t>
    </r>
    <r>
      <rPr>
        <b/>
        <u/>
        <sz val="9"/>
        <rFont val="Times New Roman"/>
        <family val="1"/>
      </rPr>
      <t>GASBS No. 72</t>
    </r>
    <r>
      <rPr>
        <sz val="9"/>
        <rFont val="Times New Roman"/>
        <family val="1"/>
      </rPr>
      <t xml:space="preserve"> for FY 2024?
If </t>
    </r>
    <r>
      <rPr>
        <b/>
        <sz val="9"/>
        <rFont val="Times New Roman"/>
        <family val="1"/>
      </rPr>
      <t>yes</t>
    </r>
    <r>
      <rPr>
        <sz val="9"/>
        <rFont val="Times New Roman"/>
        <family val="1"/>
      </rPr>
      <t>, provide the following information for all items using the fair value hierarchy (Level 1, Level 2, and Level 3) on the financial statement template.</t>
    </r>
  </si>
  <si>
    <r>
      <rPr>
        <b/>
        <sz val="9"/>
        <rFont val="Times New Roman"/>
        <family val="1"/>
      </rPr>
      <t>Net Asset Value</t>
    </r>
    <r>
      <rPr>
        <sz val="9"/>
        <rFont val="Times New Roman"/>
        <family val="1"/>
      </rPr>
      <t xml:space="preserve">:  Does the entity have items that are permitted to be reported and which are reported, at net asset value (NAV) per share (or its equivalent) in accordance with </t>
    </r>
    <r>
      <rPr>
        <b/>
        <u/>
        <sz val="9"/>
        <rFont val="Times New Roman"/>
        <family val="1"/>
      </rPr>
      <t>GASBS No. 72</t>
    </r>
    <r>
      <rPr>
        <sz val="9"/>
        <rFont val="Times New Roman"/>
        <family val="1"/>
      </rPr>
      <t xml:space="preserve"> for FY 2024?                                                                                                                                                                                                                                                                                                                         
If </t>
    </r>
    <r>
      <rPr>
        <b/>
        <sz val="9"/>
        <rFont val="Times New Roman"/>
        <family val="1"/>
      </rPr>
      <t>yes</t>
    </r>
    <r>
      <rPr>
        <sz val="9"/>
        <rFont val="Times New Roman"/>
        <family val="1"/>
      </rPr>
      <t xml:space="preserve">, provide the following information for all items that are reported on the financial statement template. Additionally, provide required footnote disclosures pursuant to </t>
    </r>
    <r>
      <rPr>
        <b/>
        <u/>
        <sz val="9"/>
        <rFont val="Times New Roman"/>
        <family val="1"/>
      </rPr>
      <t>GASBS No. 72</t>
    </r>
    <r>
      <rPr>
        <sz val="9"/>
        <rFont val="Times New Roman"/>
        <family val="1"/>
      </rPr>
      <t xml:space="preserve"> paragraph 82 in a separate Word document accompanying this attachment.</t>
    </r>
  </si>
  <si>
    <r>
      <rPr>
        <b/>
        <sz val="9"/>
        <rFont val="Times New Roman"/>
        <family val="1"/>
      </rPr>
      <t>Recurring and Nonrecurring Fair Value Measurements</t>
    </r>
    <r>
      <rPr>
        <sz val="9"/>
        <rFont val="Times New Roman"/>
        <family val="1"/>
      </rPr>
      <t xml:space="preserve">: Are items measured at fair value on a recurring basis in accordance with </t>
    </r>
    <r>
      <rPr>
        <b/>
        <u/>
        <sz val="9"/>
        <rFont val="Times New Roman"/>
        <family val="1"/>
      </rPr>
      <t>GASBS No. 72</t>
    </r>
    <r>
      <rPr>
        <sz val="9"/>
        <rFont val="Times New Roman"/>
        <family val="1"/>
      </rPr>
      <t xml:space="preserve"> for FY 2024?
Note:  If the entity does not have any items measured at fair value either on a recurring or nonrecurring basis for FY 2024, then answer "N/A" from the drop-down list.</t>
    </r>
  </si>
  <si>
    <r>
      <t xml:space="preserve">Does the entity have any asset retirement obligations that must be reported in accordance with this statement as of June 30, 2024?  If </t>
    </r>
    <r>
      <rPr>
        <b/>
        <sz val="9"/>
        <rFont val="Times New Roman"/>
        <family val="1"/>
      </rPr>
      <t>yes</t>
    </r>
    <r>
      <rPr>
        <sz val="9"/>
        <rFont val="Times New Roman"/>
        <family val="1"/>
      </rPr>
      <t>, provide required note disclosures below or in a separate document along with the CU4 template submission.</t>
    </r>
  </si>
  <si>
    <r>
      <t xml:space="preserve">Does the entity have any of the following lease arrangements that must be reported in accordance with this statement as of June 30, 2024?
Sublease transactions
Sale-leaseback transactions
Lease-leaseback transactions
If </t>
    </r>
    <r>
      <rPr>
        <b/>
        <sz val="9"/>
        <rFont val="Times New Roman"/>
        <family val="1"/>
      </rPr>
      <t>yes</t>
    </r>
    <r>
      <rPr>
        <sz val="9"/>
        <rFont val="Times New Roman"/>
        <family val="1"/>
      </rPr>
      <t xml:space="preserve">, provide the description, line item, and necessary disclosures. </t>
    </r>
  </si>
  <si>
    <r>
      <rPr>
        <b/>
        <sz val="9"/>
        <rFont val="Times New Roman"/>
        <family val="1"/>
      </rPr>
      <t xml:space="preserve">Unused lines of credit:  </t>
    </r>
    <r>
      <rPr>
        <sz val="9"/>
        <rFont val="Times New Roman"/>
        <family val="1"/>
      </rPr>
      <t xml:space="preserve">Does the entity have unused lines of credit </t>
    </r>
    <r>
      <rPr>
        <b/>
        <sz val="9"/>
        <rFont val="Times New Roman"/>
        <family val="1"/>
      </rPr>
      <t xml:space="preserve">external </t>
    </r>
    <r>
      <rPr>
        <sz val="9"/>
        <rFont val="Times New Roman"/>
        <family val="1"/>
      </rPr>
      <t xml:space="preserve">to the Commonwealth as of June 30, 2024? </t>
    </r>
    <r>
      <rPr>
        <b/>
        <sz val="9"/>
        <rFont val="Times New Roman"/>
        <family val="1"/>
      </rPr>
      <t xml:space="preserve"> Note</t>
    </r>
    <r>
      <rPr>
        <sz val="9"/>
        <rFont val="Times New Roman"/>
        <family val="1"/>
      </rPr>
      <t>:  Do not include lines of credit with the Department of Treasury.</t>
    </r>
  </si>
  <si>
    <t>Did the entity have unused lines of credit as of June 30, 2024?</t>
  </si>
  <si>
    <r>
      <t xml:space="preserve">Assets Pledged as Collateral for Debt:  </t>
    </r>
    <r>
      <rPr>
        <sz val="9"/>
        <rFont val="Times New Roman"/>
        <family val="1"/>
      </rPr>
      <t>Does the entity have assets pledged as collateral for debt as of June 30, 2024?</t>
    </r>
  </si>
  <si>
    <r>
      <t xml:space="preserve">If </t>
    </r>
    <r>
      <rPr>
        <b/>
        <sz val="9"/>
        <rFont val="Times New Roman"/>
        <family val="1"/>
      </rPr>
      <t>yes</t>
    </r>
    <r>
      <rPr>
        <sz val="9"/>
        <rFont val="Times New Roman"/>
        <family val="1"/>
      </rPr>
      <t>, provide the CU4 debt line item and line item amount (net of eliminations), and description of assets pledged as collateral for the debt as of June 30, 2024:</t>
    </r>
  </si>
  <si>
    <r>
      <t xml:space="preserve">Does the entity have any disclosures and/or liabilities that must be recognized to comply with </t>
    </r>
    <r>
      <rPr>
        <b/>
        <u/>
        <sz val="9"/>
        <color theme="1"/>
        <rFont val="Times New Roman"/>
        <family val="1"/>
      </rPr>
      <t>GASBS No. 91</t>
    </r>
    <r>
      <rPr>
        <sz val="9"/>
        <color theme="1"/>
        <rFont val="Times New Roman"/>
        <family val="1"/>
      </rPr>
      <t xml:space="preserve">, </t>
    </r>
    <r>
      <rPr>
        <i/>
        <sz val="9"/>
        <color theme="1"/>
        <rFont val="Times New Roman"/>
        <family val="1"/>
      </rPr>
      <t>Conduit Debt Obligations</t>
    </r>
    <r>
      <rPr>
        <sz val="9"/>
        <color theme="1"/>
        <rFont val="Times New Roman"/>
        <family val="1"/>
      </rPr>
      <t xml:space="preserve">, for FY 2024?  If yes, provide a brief description, including any type of commitment for the obligation, and any other applicable </t>
    </r>
    <r>
      <rPr>
        <b/>
        <u/>
        <sz val="9"/>
        <color theme="1"/>
        <rFont val="Times New Roman"/>
        <family val="1"/>
      </rPr>
      <t>GASBS No. 91</t>
    </r>
    <r>
      <rPr>
        <sz val="9"/>
        <color theme="1"/>
        <rFont val="Times New Roman"/>
        <family val="1"/>
      </rPr>
      <t xml:space="preserve"> disclosures.  DOA may request additional information in a separate communication.
Refer to GASB's website at </t>
    </r>
    <r>
      <rPr>
        <sz val="9"/>
        <color rgb="FF0000FF"/>
        <rFont val="Times New Roman"/>
        <family val="1"/>
      </rPr>
      <t>www.gasb.org</t>
    </r>
    <r>
      <rPr>
        <sz val="9"/>
        <color theme="1"/>
        <rFont val="Times New Roman"/>
        <family val="1"/>
      </rPr>
      <t xml:space="preserve"> for information regarding </t>
    </r>
    <r>
      <rPr>
        <b/>
        <u/>
        <sz val="9"/>
        <color theme="1"/>
        <rFont val="Times New Roman"/>
        <family val="1"/>
      </rPr>
      <t>GASBS No. 91</t>
    </r>
    <r>
      <rPr>
        <sz val="9"/>
        <color theme="1"/>
        <rFont val="Times New Roman"/>
        <family val="1"/>
      </rPr>
      <t xml:space="preserve">.  </t>
    </r>
    <r>
      <rPr>
        <b/>
        <u/>
        <sz val="9"/>
        <color theme="1"/>
        <rFont val="Times New Roman"/>
        <family val="1"/>
      </rPr>
      <t>GASBS No. 94</t>
    </r>
    <r>
      <rPr>
        <sz val="9"/>
        <color theme="1"/>
        <rFont val="Times New Roman"/>
        <family val="1"/>
      </rPr>
      <t xml:space="preserve">, </t>
    </r>
    <r>
      <rPr>
        <i/>
        <sz val="9"/>
        <color theme="1"/>
        <rFont val="Times New Roman"/>
        <family val="1"/>
      </rPr>
      <t>Public-Private and Public-Public Partnerships and Availability Payment Arrangements</t>
    </r>
    <r>
      <rPr>
        <sz val="9"/>
        <color theme="1"/>
        <rFont val="Times New Roman"/>
        <family val="1"/>
      </rPr>
      <t xml:space="preserve">, includes amendments to </t>
    </r>
    <r>
      <rPr>
        <b/>
        <u/>
        <sz val="9"/>
        <color theme="1"/>
        <rFont val="Times New Roman"/>
        <family val="1"/>
      </rPr>
      <t>GASBS No. 91</t>
    </r>
    <r>
      <rPr>
        <sz val="9"/>
        <color theme="1"/>
        <rFont val="Times New Roman"/>
        <family val="1"/>
      </rPr>
      <t>.</t>
    </r>
  </si>
  <si>
    <r>
      <t xml:space="preserve">GASBS No. 94, </t>
    </r>
    <r>
      <rPr>
        <i/>
        <sz val="9"/>
        <rFont val="Times New Roman"/>
        <family val="1"/>
      </rPr>
      <t>Public-Private and Public-Public Partnerships and Availability Payment Arrangements</t>
    </r>
    <r>
      <rPr>
        <sz val="9"/>
        <rFont val="Times New Roman"/>
        <family val="1"/>
      </rPr>
      <t xml:space="preserve"> </t>
    </r>
  </si>
  <si>
    <r>
      <rPr>
        <b/>
        <u/>
        <sz val="9"/>
        <rFont val="Times New Roman"/>
        <family val="1"/>
      </rPr>
      <t>GASBS No. 99</t>
    </r>
    <r>
      <rPr>
        <b/>
        <sz val="9"/>
        <rFont val="Times New Roman"/>
        <family val="1"/>
      </rPr>
      <t xml:space="preserve">, </t>
    </r>
    <r>
      <rPr>
        <i/>
        <sz val="9"/>
        <rFont val="Times New Roman"/>
        <family val="1"/>
      </rPr>
      <t>Omnibus 2022</t>
    </r>
  </si>
  <si>
    <r>
      <rPr>
        <b/>
        <u/>
        <sz val="9"/>
        <rFont val="Times New Roman"/>
        <family val="1"/>
      </rPr>
      <t>GASBS No. 100</t>
    </r>
    <r>
      <rPr>
        <b/>
        <sz val="9"/>
        <rFont val="Times New Roman"/>
        <family val="1"/>
      </rPr>
      <t xml:space="preserve">, </t>
    </r>
    <r>
      <rPr>
        <i/>
        <sz val="9"/>
        <rFont val="Times New Roman"/>
        <family val="1"/>
      </rPr>
      <t>Accounting Changes and Error Corrections:</t>
    </r>
  </si>
  <si>
    <t>Also provide any insurance recoveries recognized in fiscal year 2024 that are included in the impairment loss calculation.</t>
  </si>
  <si>
    <r>
      <t>Note c:</t>
    </r>
    <r>
      <rPr>
        <sz val="8"/>
        <rFont val="Times New Roman"/>
        <family val="1"/>
      </rPr>
      <t xml:space="preserve">  If insurance recoveries are recognized in fiscal year 2024 for impaired capital assets that took place in prior years, record those </t>
    </r>
  </si>
  <si>
    <t>Virginia College Building Autority</t>
  </si>
  <si>
    <t>Total - No CA</t>
  </si>
  <si>
    <t>Tab 2, Part 2</t>
  </si>
  <si>
    <t>Tab 2 Part 3</t>
  </si>
  <si>
    <r>
      <t xml:space="preserve">18) </t>
    </r>
    <r>
      <rPr>
        <b/>
        <sz val="9"/>
        <color theme="1"/>
        <rFont val="Times New Roman"/>
        <family val="1"/>
      </rPr>
      <t xml:space="preserve">Public-Private and Public-Public Partnerships Arrangements (PPPs) NOT including Service Concession Arrangements (SCAs) </t>
    </r>
    <r>
      <rPr>
        <sz val="9"/>
        <color theme="1"/>
        <rFont val="Times New Roman"/>
        <family val="1"/>
      </rPr>
      <t xml:space="preserve">- Amounts associated with PPPs, not including SCAs, when the government as </t>
    </r>
    <r>
      <rPr>
        <b/>
        <sz val="9"/>
        <color theme="1"/>
        <rFont val="Times New Roman"/>
        <family val="1"/>
      </rPr>
      <t>operator</t>
    </r>
    <r>
      <rPr>
        <sz val="9"/>
        <color theme="1"/>
        <rFont val="Times New Roman"/>
        <family val="1"/>
      </rPr>
      <t xml:space="preserve"> purchases or constructs the new underlying PPP asset to be transferred to transferor (</t>
    </r>
    <r>
      <rPr>
        <b/>
        <u/>
        <sz val="9"/>
        <color theme="1"/>
        <rFont val="Times New Roman"/>
        <family val="1"/>
      </rPr>
      <t xml:space="preserve">GASBS No. 94 </t>
    </r>
    <r>
      <rPr>
        <sz val="9"/>
        <color theme="1"/>
        <rFont val="Times New Roman"/>
        <family val="1"/>
      </rPr>
      <t xml:space="preserve">as amended by </t>
    </r>
    <r>
      <rPr>
        <b/>
        <u/>
        <sz val="9"/>
        <color theme="1"/>
        <rFont val="Times New Roman"/>
        <family val="1"/>
      </rPr>
      <t>GASBS No. 99</t>
    </r>
    <r>
      <rPr>
        <sz val="9"/>
        <color theme="1"/>
        <rFont val="Times New Roman"/>
        <family val="1"/>
      </rPr>
      <t xml:space="preserve"> paragraph 22)</t>
    </r>
  </si>
  <si>
    <r>
      <rPr>
        <b/>
        <u/>
        <sz val="9"/>
        <rFont val="Times New Roman"/>
        <family val="1"/>
      </rPr>
      <t>GASBS No. 94</t>
    </r>
    <r>
      <rPr>
        <sz val="9"/>
        <rFont val="Times New Roman"/>
        <family val="1"/>
      </rPr>
      <t xml:space="preserve"> requires the recognition, measurement and disclosure of information about public-private, public-public partnerships and availability payment arrangements. This statement encompasses service concession arrangements and other similar types of arrangements.  This statement is for entities using the current financial resources measurement focus and the economic resources measurement focus. Therefore, it applies to governmental fund financial statements, the proprietary fund financial statements, Component Units, Higher Education and government wide statements. This statement supersedes </t>
    </r>
    <r>
      <rPr>
        <b/>
        <u/>
        <sz val="9"/>
        <rFont val="Times New Roman"/>
        <family val="1"/>
      </rPr>
      <t>GASBS No. 60</t>
    </r>
    <r>
      <rPr>
        <sz val="9"/>
        <rFont val="Times New Roman"/>
        <family val="1"/>
      </rPr>
      <t xml:space="preserve">, </t>
    </r>
    <r>
      <rPr>
        <i/>
        <sz val="9"/>
        <rFont val="Times New Roman"/>
        <family val="1"/>
      </rPr>
      <t>Accounting and Financial Reporting for Service Concession Arrangements</t>
    </r>
    <r>
      <rPr>
        <sz val="9"/>
        <rFont val="Times New Roman"/>
        <family val="1"/>
      </rPr>
      <t xml:space="preserve">, and amends </t>
    </r>
    <r>
      <rPr>
        <b/>
        <u/>
        <sz val="9"/>
        <rFont val="Times New Roman"/>
        <family val="1"/>
      </rPr>
      <t>GASBS No. 87</t>
    </r>
    <r>
      <rPr>
        <sz val="9"/>
        <rFont val="Times New Roman"/>
        <family val="1"/>
      </rPr>
      <t xml:space="preserve">, </t>
    </r>
    <r>
      <rPr>
        <i/>
        <sz val="9"/>
        <rFont val="Times New Roman"/>
        <family val="1"/>
      </rPr>
      <t>Leases</t>
    </r>
    <r>
      <rPr>
        <sz val="9"/>
        <rFont val="Times New Roman"/>
        <family val="1"/>
      </rPr>
      <t xml:space="preserve">. 
 </t>
    </r>
    <r>
      <rPr>
        <u/>
        <sz val="9"/>
        <rFont val="Times New Roman"/>
        <family val="1"/>
      </rPr>
      <t xml:space="preserve">
</t>
    </r>
    <r>
      <rPr>
        <b/>
        <u/>
        <sz val="9"/>
        <rFont val="Times New Roman"/>
        <family val="1"/>
      </rPr>
      <t>GASBS No. 99</t>
    </r>
    <r>
      <rPr>
        <sz val="9"/>
        <rFont val="Times New Roman"/>
        <family val="1"/>
      </rPr>
      <t xml:space="preserve">, </t>
    </r>
    <r>
      <rPr>
        <i/>
        <sz val="9"/>
        <rFont val="Times New Roman"/>
        <family val="1"/>
      </rPr>
      <t xml:space="preserve">Omnibus 2022, </t>
    </r>
    <r>
      <rPr>
        <sz val="9"/>
        <rFont val="Times New Roman"/>
        <family val="1"/>
      </rPr>
      <t xml:space="preserve">amended </t>
    </r>
    <r>
      <rPr>
        <b/>
        <u/>
        <sz val="9"/>
        <rFont val="Times New Roman"/>
        <family val="1"/>
      </rPr>
      <t>GASBS No. 94</t>
    </r>
    <r>
      <rPr>
        <sz val="9"/>
        <rFont val="Times New Roman"/>
        <family val="1"/>
      </rPr>
      <t xml:space="preserve"> paragraphs 10, 28, 45, and 47. Refer to GASB's website at </t>
    </r>
    <r>
      <rPr>
        <b/>
        <sz val="9"/>
        <rFont val="Times New Roman"/>
        <family val="1"/>
      </rPr>
      <t>www.gasb.org</t>
    </r>
    <r>
      <rPr>
        <sz val="9"/>
        <rFont val="Times New Roman"/>
        <family val="1"/>
      </rPr>
      <t xml:space="preserve"> for information.
</t>
    </r>
  </si>
  <si>
    <t>Increase (decrease) Upon Hedge Termination</t>
  </si>
  <si>
    <t>2045-2049</t>
  </si>
  <si>
    <t>2060-2064</t>
  </si>
  <si>
    <r>
      <t xml:space="preserve">Does the entity (guarantor) extend exchange or exchange-like financial guarantees for the obligations of a legally separate entity* or individual (issuers) that require disclosures pursuant to </t>
    </r>
    <r>
      <rPr>
        <b/>
        <u/>
        <sz val="9"/>
        <rFont val="Times New Roman"/>
        <family val="1"/>
      </rPr>
      <t>GASBS No. 99</t>
    </r>
    <r>
      <rPr>
        <sz val="9"/>
        <rFont val="Times New Roman"/>
        <family val="1"/>
      </rPr>
      <t xml:space="preserve">, </t>
    </r>
    <r>
      <rPr>
        <i/>
        <sz val="9"/>
        <rFont val="Times New Roman"/>
        <family val="1"/>
      </rPr>
      <t xml:space="preserve">Omnibus 2022, </t>
    </r>
    <r>
      <rPr>
        <sz val="9"/>
        <rFont val="Times New Roman"/>
        <family val="1"/>
      </rPr>
      <t xml:space="preserve">as of June 30, 2024? If yes, provide amounts, a brief description, and the applicable </t>
    </r>
    <r>
      <rPr>
        <b/>
        <u/>
        <sz val="9"/>
        <rFont val="Times New Roman"/>
        <family val="1"/>
      </rPr>
      <t>GASBS No. 99</t>
    </r>
    <r>
      <rPr>
        <sz val="9"/>
        <rFont val="Times New Roman"/>
        <family val="1"/>
      </rPr>
      <t xml:space="preserve"> disclosures below. DOA may request additional information in a separate communication.
</t>
    </r>
    <r>
      <rPr>
        <b/>
        <u/>
        <sz val="9"/>
        <rFont val="Times New Roman"/>
        <family val="1"/>
      </rPr>
      <t>GASBS No. 99</t>
    </r>
    <r>
      <rPr>
        <sz val="9"/>
        <rFont val="Times New Roman"/>
        <family val="1"/>
      </rPr>
      <t xml:space="preserve"> paragraphs 6-7 do not apply to guarantees related to special assessment debt addressed in </t>
    </r>
    <r>
      <rPr>
        <b/>
        <u/>
        <sz val="9"/>
        <rFont val="Times New Roman"/>
        <family val="1"/>
      </rPr>
      <t>GASBS No. 6</t>
    </r>
    <r>
      <rPr>
        <sz val="9"/>
        <rFont val="Times New Roman"/>
        <family val="1"/>
      </rPr>
      <t xml:space="preserve">, </t>
    </r>
    <r>
      <rPr>
        <i/>
        <sz val="9"/>
        <rFont val="Times New Roman"/>
        <family val="1"/>
      </rPr>
      <t>Accounting and Financial Reporting for Special Assessments</t>
    </r>
    <r>
      <rPr>
        <sz val="9"/>
        <rFont val="Times New Roman"/>
        <family val="1"/>
      </rPr>
      <t xml:space="preserve">, financial guarantee contracts within the scope of </t>
    </r>
    <r>
      <rPr>
        <b/>
        <u/>
        <sz val="9"/>
        <rFont val="Times New Roman"/>
        <family val="1"/>
      </rPr>
      <t>GASBS No. 53</t>
    </r>
    <r>
      <rPr>
        <sz val="9"/>
        <rFont val="Times New Roman"/>
        <family val="1"/>
      </rPr>
      <t xml:space="preserve">, </t>
    </r>
    <r>
      <rPr>
        <i/>
        <sz val="9"/>
        <rFont val="Times New Roman"/>
        <family val="1"/>
      </rPr>
      <t>Accounting and Financial Reporting for Derivative Instruments</t>
    </r>
    <r>
      <rPr>
        <sz val="9"/>
        <rFont val="Times New Roman"/>
        <family val="1"/>
      </rPr>
      <t xml:space="preserve">, or guarantees related to conduit debt obligations within the scope of </t>
    </r>
    <r>
      <rPr>
        <b/>
        <u/>
        <sz val="9"/>
        <rFont val="Times New Roman"/>
        <family val="1"/>
      </rPr>
      <t>GASBS No. 91</t>
    </r>
    <r>
      <rPr>
        <sz val="9"/>
        <rFont val="Times New Roman"/>
        <family val="1"/>
      </rPr>
      <t xml:space="preserve">, </t>
    </r>
    <r>
      <rPr>
        <i/>
        <sz val="9"/>
        <rFont val="Times New Roman"/>
        <family val="1"/>
      </rPr>
      <t>Conduit Debt Obligations</t>
    </r>
    <r>
      <rPr>
        <sz val="9"/>
        <rFont val="Times New Roman"/>
        <family val="1"/>
      </rPr>
      <t xml:space="preserve">.
</t>
    </r>
    <r>
      <rPr>
        <b/>
        <u/>
        <sz val="9"/>
        <rFont val="Times New Roman"/>
        <family val="1"/>
      </rPr>
      <t>GASBS No. 99</t>
    </r>
    <r>
      <rPr>
        <sz val="9"/>
        <rFont val="Times New Roman"/>
        <family val="1"/>
      </rPr>
      <t xml:space="preserve"> paragraphs 4-7 are effective beginning with FY 2024. Refer to GASB's website at www.gasb.org for information regarding </t>
    </r>
    <r>
      <rPr>
        <b/>
        <u/>
        <sz val="9"/>
        <rFont val="Times New Roman"/>
        <family val="1"/>
      </rPr>
      <t>GASBS No. 99</t>
    </r>
    <r>
      <rPr>
        <sz val="9"/>
        <rFont val="Times New Roman"/>
        <family val="1"/>
      </rPr>
      <t>.
*Note:  A legally separate entity includes other governments and nongovernmental entities (i.e. not-for profit organizations, private entities, etc.), and blended or discretely presented component units of the entity.</t>
    </r>
  </si>
  <si>
    <r>
      <t xml:space="preserve">Does the entity have any of the following that require </t>
    </r>
    <r>
      <rPr>
        <b/>
        <u/>
        <sz val="9"/>
        <rFont val="Times New Roman"/>
        <family val="1"/>
      </rPr>
      <t>GASBS No. 100</t>
    </r>
    <r>
      <rPr>
        <sz val="9"/>
        <rFont val="Times New Roman"/>
        <family val="1"/>
      </rPr>
      <t xml:space="preserve"> disclosures as of June 30, 2024: change in accounting estimate, reclassification from a change in accounting principle, and/or reclassification from an error correction?   If yes, provide amounts, a brief description and the applicable </t>
    </r>
    <r>
      <rPr>
        <b/>
        <u/>
        <sz val="9"/>
        <rFont val="Times New Roman"/>
        <family val="1"/>
      </rPr>
      <t>GASBS No. 100</t>
    </r>
    <r>
      <rPr>
        <sz val="9"/>
        <rFont val="Times New Roman"/>
        <family val="1"/>
      </rPr>
      <t xml:space="preserve"> disclosures below.
</t>
    </r>
    <r>
      <rPr>
        <b/>
        <u/>
        <sz val="9"/>
        <rFont val="Times New Roman"/>
        <family val="1"/>
      </rPr>
      <t>GASBS No. 100</t>
    </r>
    <r>
      <rPr>
        <sz val="9"/>
        <rFont val="Times New Roman"/>
        <family val="1"/>
      </rPr>
      <t xml:space="preserve"> is effective beginning with FY 2024. Refer to GASB's website at www.gasb.org for information regarding </t>
    </r>
    <r>
      <rPr>
        <b/>
        <u/>
        <sz val="9"/>
        <rFont val="Times New Roman"/>
        <family val="1"/>
      </rPr>
      <t>GASBS No. 100</t>
    </r>
    <r>
      <rPr>
        <sz val="9"/>
        <rFont val="Times New Roman"/>
        <family val="1"/>
      </rPr>
      <t xml:space="preserve">.
</t>
    </r>
  </si>
  <si>
    <t>Changes in Accounting Principle</t>
  </si>
  <si>
    <t>Error Corrections</t>
  </si>
  <si>
    <t>Changes to or within the Financial Reporting Entity</t>
  </si>
  <si>
    <t>Type of Restatement</t>
  </si>
  <si>
    <r>
      <t xml:space="preserve">Implementation of </t>
    </r>
    <r>
      <rPr>
        <b/>
        <sz val="8"/>
        <rFont val="Times New Roman"/>
        <family val="1"/>
      </rPr>
      <t>Implementation Guide 2021-1, Question 5.1</t>
    </r>
  </si>
  <si>
    <r>
      <rPr>
        <b/>
        <u/>
        <sz val="10"/>
        <rFont val="Times New Roman"/>
        <family val="1"/>
      </rPr>
      <t>GASBS No. 100</t>
    </r>
    <r>
      <rPr>
        <sz val="10"/>
        <rFont val="Times New Roman"/>
        <family val="1"/>
      </rPr>
      <t>,</t>
    </r>
    <r>
      <rPr>
        <i/>
        <sz val="10"/>
        <rFont val="Times New Roman"/>
        <family val="1"/>
      </rPr>
      <t xml:space="preserve"> Accounting Changes and Error Corrections</t>
    </r>
    <r>
      <rPr>
        <sz val="10"/>
        <rFont val="Times New Roman"/>
        <family val="1"/>
      </rPr>
      <t xml:space="preserve"> (Note: DOA may request additional information in a separate communication).
</t>
    </r>
  </si>
  <si>
    <r>
      <t xml:space="preserve">For any restatements shown above, please provide any required disclosures per </t>
    </r>
    <r>
      <rPr>
        <b/>
        <u/>
        <sz val="10"/>
        <rFont val="Times New Roman"/>
        <family val="1"/>
      </rPr>
      <t>GASBS No. 100</t>
    </r>
    <r>
      <rPr>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</si>
</sst>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d"/>
    <numFmt numFmtId="166" formatCode="mmmm\ d\,\ yyyy"/>
    <numFmt numFmtId="167" formatCode="&quot;$&quot;#,##0\ ;\(&quot;$&quot;#,##0\)"/>
    <numFmt numFmtId="168" formatCode="mm/dd/yy"/>
    <numFmt numFmtId="169" formatCode="#,##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0.0000000000;\-#,##0.0000000000"/>
    <numFmt numFmtId="180" formatCode="mm/dd/yy;@"/>
    <numFmt numFmtId="181" formatCode="[&lt;=9999999]###\-####;\(###\)\ ###\-####"/>
  </numFmts>
  <fonts count="157">
    <font>
      <sz val="10"/>
      <name val="Arial"/>
    </font>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7"/>
      <color indexed="81"/>
      <name val="Tahoma"/>
      <family val="2"/>
    </font>
    <font>
      <sz val="8"/>
      <name val="Times New Roman"/>
      <family val="1"/>
    </font>
    <font>
      <b/>
      <sz val="8"/>
      <color indexed="81"/>
      <name val="Tahoma"/>
      <family val="2"/>
    </font>
    <font>
      <sz val="8"/>
      <color indexed="81"/>
      <name val="Tahoma"/>
      <family val="2"/>
    </font>
    <font>
      <sz val="8"/>
      <color indexed="10"/>
      <name val="Times New Roman"/>
      <family val="1"/>
    </font>
    <font>
      <sz val="12"/>
      <color indexed="24"/>
      <name val="Arial"/>
      <family val="2"/>
    </font>
    <font>
      <sz val="8"/>
      <color indexed="53"/>
      <name val="Times New Roman"/>
      <family val="1"/>
    </font>
    <font>
      <sz val="8"/>
      <color indexed="8"/>
      <name val="Times New Roman"/>
      <family val="1"/>
    </font>
    <font>
      <i/>
      <sz val="8"/>
      <name val="Times New Roman"/>
      <family val="1"/>
    </font>
    <font>
      <u/>
      <sz val="7.5"/>
      <color indexed="12"/>
      <name val="Courier"/>
      <family val="3"/>
    </font>
    <font>
      <b/>
      <sz val="8"/>
      <color indexed="10"/>
      <name val="Times New Roman"/>
      <family val="1"/>
    </font>
    <font>
      <b/>
      <i/>
      <sz val="8"/>
      <color indexed="81"/>
      <name val="Tahoma"/>
      <family val="2"/>
    </font>
    <font>
      <b/>
      <sz val="14"/>
      <color indexed="24"/>
      <name val="Arial"/>
      <family val="2"/>
    </font>
    <font>
      <b/>
      <sz val="12"/>
      <color indexed="24"/>
      <name val="Arial"/>
      <family val="2"/>
    </font>
    <font>
      <b/>
      <sz val="10"/>
      <name val="Times New Roman"/>
      <family val="1"/>
    </font>
    <font>
      <sz val="10"/>
      <name val="Times New Roman"/>
      <family val="1"/>
    </font>
    <font>
      <b/>
      <u/>
      <sz val="10"/>
      <name val="Times New Roman"/>
      <family val="1"/>
    </font>
    <font>
      <sz val="8"/>
      <name val="Arial"/>
      <family val="2"/>
    </font>
    <font>
      <b/>
      <sz val="10"/>
      <color indexed="12"/>
      <name val="Times New Roman"/>
      <family val="1"/>
    </font>
    <font>
      <sz val="10"/>
      <color indexed="8"/>
      <name val="Times New Roman"/>
      <family val="1"/>
    </font>
    <font>
      <b/>
      <sz val="9"/>
      <color indexed="81"/>
      <name val="Tahoma"/>
      <family val="2"/>
    </font>
    <font>
      <sz val="9"/>
      <color indexed="81"/>
      <name val="Tahoma"/>
      <family val="2"/>
    </font>
    <font>
      <sz val="10"/>
      <color indexed="81"/>
      <name val="Tahoma"/>
      <family val="2"/>
    </font>
    <font>
      <b/>
      <sz val="12"/>
      <name val="Times New Roman"/>
      <family val="1"/>
    </font>
    <font>
      <b/>
      <sz val="9"/>
      <name val="Times New Roman"/>
      <family val="1"/>
    </font>
    <font>
      <sz val="9"/>
      <name val="Times New Roman"/>
      <family val="1"/>
    </font>
    <font>
      <sz val="9"/>
      <color indexed="12"/>
      <name val="Times New Roman"/>
      <family val="1"/>
    </font>
    <font>
      <sz val="9"/>
      <color indexed="8"/>
      <name val="Times New Roman"/>
      <family val="1"/>
    </font>
    <font>
      <sz val="9"/>
      <color indexed="53"/>
      <name val="Times New Roman"/>
      <family val="1"/>
    </font>
    <font>
      <sz val="9"/>
      <color indexed="10"/>
      <name val="Times New Roman"/>
      <family val="1"/>
    </font>
    <font>
      <sz val="10"/>
      <name val="Courier"/>
      <family val="3"/>
    </font>
    <font>
      <strike/>
      <sz val="10"/>
      <name val="Times New Roman"/>
      <family val="1"/>
    </font>
    <font>
      <b/>
      <sz val="10"/>
      <color indexed="81"/>
      <name val="Tahoma"/>
      <family val="2"/>
    </font>
    <font>
      <b/>
      <sz val="8"/>
      <color indexed="12"/>
      <name val="Times New Roman"/>
      <family val="1"/>
    </font>
    <font>
      <sz val="8"/>
      <name val="Arial"/>
      <family val="2"/>
    </font>
    <font>
      <b/>
      <u/>
      <sz val="8"/>
      <name val="Times New Roman"/>
      <family val="1"/>
    </font>
    <font>
      <sz val="10"/>
      <name val="Arial"/>
      <family val="2"/>
    </font>
    <font>
      <b/>
      <sz val="10"/>
      <name val="Arial"/>
      <family val="2"/>
    </font>
    <font>
      <sz val="10"/>
      <name val="Arial"/>
      <family val="2"/>
    </font>
    <font>
      <sz val="10"/>
      <name val="Times New Roman"/>
      <family val="1"/>
    </font>
    <font>
      <sz val="10"/>
      <color indexed="53"/>
      <name val="Times New Roman"/>
      <family val="1"/>
    </font>
    <font>
      <b/>
      <sz val="10"/>
      <name val="Arial"/>
      <family val="2"/>
    </font>
    <font>
      <b/>
      <u val="singleAccounting"/>
      <sz val="8"/>
      <name val="Times New Roman"/>
      <family val="1"/>
    </font>
    <font>
      <sz val="10"/>
      <color indexed="8"/>
      <name val="Arial"/>
      <family val="2"/>
    </font>
    <font>
      <b/>
      <u/>
      <sz val="8"/>
      <color indexed="10"/>
      <name val="Times New Roman"/>
      <family val="1"/>
    </font>
    <font>
      <i/>
      <sz val="10"/>
      <name val="Times New Roman"/>
      <family val="1"/>
    </font>
    <font>
      <sz val="10"/>
      <color indexed="10"/>
      <name val="Times New Roman"/>
      <family val="1"/>
    </font>
    <font>
      <b/>
      <sz val="10"/>
      <color indexed="10"/>
      <name val="Times New Roman"/>
      <family val="1"/>
    </font>
    <font>
      <b/>
      <sz val="10"/>
      <color indexed="10"/>
      <name val="Arial"/>
      <family val="2"/>
    </font>
    <font>
      <b/>
      <sz val="10"/>
      <color indexed="10"/>
      <name val="Arial"/>
      <family val="2"/>
    </font>
    <font>
      <b/>
      <u/>
      <sz val="8"/>
      <color indexed="12"/>
      <name val="Times New Roman"/>
      <family val="1"/>
    </font>
    <font>
      <b/>
      <u/>
      <sz val="10"/>
      <color indexed="12"/>
      <name val="Times New Roman"/>
      <family val="1"/>
    </font>
    <font>
      <b/>
      <sz val="10"/>
      <color indexed="12"/>
      <name val="Arial"/>
      <family val="2"/>
    </font>
    <font>
      <b/>
      <sz val="11"/>
      <name val="Times New Roman"/>
      <family val="1"/>
    </font>
    <font>
      <b/>
      <u/>
      <sz val="11"/>
      <color indexed="12"/>
      <name val="Times New Roman"/>
      <family val="1"/>
    </font>
    <font>
      <b/>
      <u/>
      <sz val="9"/>
      <color indexed="12"/>
      <name val="Times New Roman"/>
      <family val="1"/>
    </font>
    <font>
      <sz val="12"/>
      <name val="Times New Roman"/>
      <family val="1"/>
    </font>
    <font>
      <b/>
      <u/>
      <sz val="9"/>
      <name val="Times New Roman"/>
      <family val="1"/>
    </font>
    <font>
      <i/>
      <sz val="9"/>
      <name val="Times New Roman"/>
      <family val="1"/>
    </font>
    <font>
      <u/>
      <sz val="9"/>
      <name val="Times New Roman"/>
      <family val="1"/>
    </font>
    <font>
      <u/>
      <sz val="10"/>
      <name val="Times New Roman"/>
      <family val="1"/>
    </font>
    <font>
      <b/>
      <u/>
      <sz val="10"/>
      <color indexed="81"/>
      <name val="Tahoma"/>
      <family val="2"/>
    </font>
    <font>
      <sz val="11"/>
      <name val="CG Times (WN)"/>
    </font>
    <font>
      <sz val="9"/>
      <color rgb="FFFF0000"/>
      <name val="Times New Roman"/>
      <family val="1"/>
    </font>
    <font>
      <sz val="11"/>
      <name val="Times New Roman"/>
      <family val="1"/>
    </font>
    <font>
      <sz val="9"/>
      <color theme="1"/>
      <name val="Times New Roman"/>
      <family val="1"/>
    </font>
    <font>
      <b/>
      <sz val="9"/>
      <color theme="1"/>
      <name val="Times New Roman"/>
      <family val="1"/>
    </font>
    <font>
      <b/>
      <u/>
      <sz val="9"/>
      <color theme="1"/>
      <name val="Times New Roman"/>
      <family val="1"/>
    </font>
    <font>
      <b/>
      <u/>
      <sz val="8"/>
      <color indexed="81"/>
      <name val="Tahoma"/>
      <family val="2"/>
    </font>
    <font>
      <strike/>
      <sz val="9"/>
      <name val="Times New Roman"/>
      <family val="1"/>
    </font>
    <font>
      <sz val="10"/>
      <name val="Arial"/>
      <family val="2"/>
    </font>
    <font>
      <b/>
      <sz val="8"/>
      <color rgb="FFFF0000"/>
      <name val="Times New Roman"/>
      <family val="1"/>
    </font>
    <font>
      <b/>
      <u/>
      <sz val="8"/>
      <color rgb="FFFF0000"/>
      <name val="Times New Roman"/>
      <family val="1"/>
    </font>
    <font>
      <sz val="8"/>
      <color rgb="FFFF0000"/>
      <name val="Times New Roman"/>
      <family val="1"/>
    </font>
    <font>
      <u/>
      <sz val="9"/>
      <color theme="1"/>
      <name val="Times New Roman"/>
      <family val="1"/>
    </font>
    <font>
      <sz val="9"/>
      <color rgb="FF0070C0"/>
      <name val="Times New Roman"/>
      <family val="1"/>
    </font>
    <font>
      <sz val="10"/>
      <color rgb="FF0070C0"/>
      <name val="Times New Roman"/>
      <family val="1"/>
    </font>
    <font>
      <b/>
      <sz val="8.5"/>
      <color indexed="81"/>
      <name val="Tahoma"/>
      <family val="2"/>
    </font>
    <font>
      <sz val="8.5"/>
      <color indexed="81"/>
      <name val="Tahoma"/>
      <family val="2"/>
    </font>
    <font>
      <u/>
      <sz val="9"/>
      <name val="Arial"/>
      <family val="2"/>
    </font>
    <font>
      <u/>
      <sz val="10"/>
      <color indexed="81"/>
      <name val="Tahoma"/>
      <family val="2"/>
    </font>
    <font>
      <sz val="10"/>
      <name val="Times New Roman"/>
      <family val="1"/>
    </font>
    <font>
      <sz val="10"/>
      <name val="Arial Unicode MS"/>
      <family val="2"/>
    </font>
    <font>
      <sz val="11"/>
      <color theme="1"/>
      <name val="Times New Roman"/>
      <family val="2"/>
    </font>
    <font>
      <sz val="9"/>
      <color rgb="FF0000FF"/>
      <name val="Times New Roman"/>
      <family val="1"/>
    </font>
    <font>
      <u/>
      <sz val="8"/>
      <name val="Times New Roman"/>
      <family val="1"/>
    </font>
    <font>
      <u val="doubleAccounting"/>
      <sz val="8"/>
      <name val="Times New Roman"/>
      <family val="1"/>
    </font>
    <font>
      <sz val="11"/>
      <color theme="1"/>
      <name val="Times New Roman"/>
      <family val="1"/>
    </font>
    <font>
      <sz val="10"/>
      <color theme="1"/>
      <name val="Times New Roman"/>
      <family val="1"/>
    </font>
    <font>
      <sz val="10"/>
      <color theme="1"/>
      <name val="Times New Roman"/>
      <family val="2"/>
    </font>
    <font>
      <b/>
      <sz val="11"/>
      <color theme="1"/>
      <name val="Times New Roman"/>
      <family val="1"/>
    </font>
    <font>
      <b/>
      <u/>
      <sz val="11"/>
      <name val="Times New Roman"/>
      <family val="1"/>
    </font>
    <font>
      <b/>
      <u/>
      <sz val="11"/>
      <color indexed="10"/>
      <name val="Times New Roman"/>
      <family val="1"/>
    </font>
    <font>
      <b/>
      <sz val="11"/>
      <color indexed="10"/>
      <name val="Times New Roman"/>
      <family val="1"/>
    </font>
    <font>
      <b/>
      <sz val="11"/>
      <color rgb="FFFF0000"/>
      <name val="Times New Roman"/>
      <family val="1"/>
    </font>
    <font>
      <sz val="11"/>
      <color rgb="FFFF0000"/>
      <name val="Times New Roman"/>
      <family val="1"/>
    </font>
    <font>
      <sz val="11"/>
      <color indexed="8"/>
      <name val="Calibri"/>
      <family val="2"/>
      <scheme val="minor"/>
    </font>
    <font>
      <sz val="11"/>
      <color rgb="FF000000"/>
      <name val="Calibri"/>
      <family val="2"/>
      <scheme val="minor"/>
    </font>
    <font>
      <b/>
      <strike/>
      <sz val="10"/>
      <color indexed="12"/>
      <name val="Times New Roman"/>
      <family val="1"/>
    </font>
    <font>
      <b/>
      <strike/>
      <sz val="10"/>
      <name val="Times New Roman"/>
      <family val="1"/>
    </font>
    <font>
      <b/>
      <strike/>
      <u/>
      <sz val="10"/>
      <name val="Times New Roman"/>
      <family val="1"/>
    </font>
    <font>
      <i/>
      <strike/>
      <sz val="10"/>
      <name val="Times New Roman"/>
      <family val="1"/>
    </font>
    <font>
      <strike/>
      <sz val="8"/>
      <name val="Times New Roman"/>
      <family val="1"/>
    </font>
    <font>
      <strike/>
      <sz val="9"/>
      <color indexed="10"/>
      <name val="Times New Roman"/>
      <family val="1"/>
    </font>
    <font>
      <b/>
      <strike/>
      <sz val="8"/>
      <name val="Times New Roman"/>
      <family val="1"/>
    </font>
    <font>
      <strike/>
      <sz val="9"/>
      <color indexed="12"/>
      <name val="Times New Roman"/>
      <family val="1"/>
    </font>
    <font>
      <sz val="8"/>
      <name val="New Times Roman"/>
    </font>
    <font>
      <b/>
      <sz val="8"/>
      <name val="New Times Roman"/>
    </font>
    <font>
      <sz val="8"/>
      <color indexed="12"/>
      <name val="New Times Roman"/>
    </font>
    <font>
      <sz val="8"/>
      <color rgb="FFFF0000"/>
      <name val="New Times Roman"/>
    </font>
    <font>
      <sz val="8"/>
      <color indexed="10"/>
      <name val="New Times Roman"/>
    </font>
    <font>
      <b/>
      <sz val="8"/>
      <color rgb="FF7030A0"/>
      <name val="New Times Roman"/>
    </font>
    <font>
      <b/>
      <sz val="8"/>
      <color indexed="10"/>
      <name val="New Times Roman"/>
    </font>
    <font>
      <sz val="8"/>
      <color indexed="8"/>
      <name val="New Times Roman"/>
    </font>
    <font>
      <b/>
      <u/>
      <sz val="8"/>
      <name val="New Times Roman"/>
    </font>
    <font>
      <sz val="8"/>
      <color rgb="FF7030A0"/>
      <name val="New Times Roman"/>
    </font>
    <font>
      <b/>
      <sz val="9"/>
      <color rgb="FFFF0000"/>
      <name val="Arial"/>
      <family val="2"/>
    </font>
    <font>
      <b/>
      <u/>
      <sz val="9"/>
      <color rgb="FFFF0000"/>
      <name val="Arial"/>
      <family val="2"/>
    </font>
    <font>
      <b/>
      <sz val="8"/>
      <color rgb="FFFF0000"/>
      <name val="New Times Roman"/>
    </font>
    <font>
      <b/>
      <sz val="10"/>
      <color rgb="FFFF0000"/>
      <name val="Times New Roman"/>
      <family val="1"/>
    </font>
    <font>
      <b/>
      <u/>
      <sz val="9"/>
      <color indexed="8"/>
      <name val="Times New Roman"/>
      <family val="1"/>
    </font>
    <font>
      <sz val="10"/>
      <color rgb="FFFF0000"/>
      <name val="Times New Roman"/>
      <family val="1"/>
    </font>
    <font>
      <b/>
      <u/>
      <sz val="10"/>
      <color indexed="8"/>
      <name val="Times New Roman"/>
      <family val="1"/>
    </font>
    <font>
      <sz val="10"/>
      <color rgb="FF0000FF"/>
      <name val="Times New Roman"/>
      <family val="1"/>
    </font>
    <font>
      <u/>
      <sz val="8"/>
      <color indexed="81"/>
      <name val="Tahoma"/>
      <family val="2"/>
    </font>
    <font>
      <b/>
      <u/>
      <sz val="9"/>
      <color rgb="FF000000"/>
      <name val="Times New Roman"/>
      <family val="1"/>
    </font>
    <font>
      <b/>
      <sz val="9"/>
      <color rgb="FFFF0000"/>
      <name val="Times New Roman"/>
      <family val="1"/>
    </font>
    <font>
      <b/>
      <strike/>
      <sz val="9"/>
      <name val="Times New Roman"/>
      <family val="1"/>
    </font>
    <font>
      <b/>
      <strike/>
      <u/>
      <sz val="9"/>
      <name val="Times New Roman"/>
      <family val="1"/>
    </font>
    <font>
      <i/>
      <strike/>
      <sz val="9"/>
      <name val="Times New Roman"/>
      <family val="1"/>
    </font>
    <font>
      <strike/>
      <u/>
      <sz val="9"/>
      <name val="Times New Roman"/>
      <family val="1"/>
    </font>
    <font>
      <b/>
      <strike/>
      <sz val="9"/>
      <color indexed="10"/>
      <name val="Times New Roman"/>
      <family val="1"/>
    </font>
    <font>
      <b/>
      <strike/>
      <sz val="10"/>
      <color indexed="53"/>
      <name val="Times New Roman"/>
      <family val="1"/>
    </font>
    <font>
      <b/>
      <strike/>
      <sz val="10"/>
      <color indexed="10"/>
      <name val="Times New Roman"/>
      <family val="1"/>
    </font>
    <font>
      <i/>
      <sz val="9"/>
      <color theme="1"/>
      <name val="Times New Roman"/>
      <family val="1"/>
    </font>
    <font>
      <b/>
      <u/>
      <sz val="9"/>
      <color indexed="81"/>
      <name val="Tahoma"/>
      <family val="2"/>
    </font>
    <font>
      <strike/>
      <sz val="8"/>
      <name val="New Times Roman"/>
    </font>
    <font>
      <b/>
      <sz val="8"/>
      <color theme="1"/>
      <name val="Times New Roman"/>
      <family val="1"/>
    </font>
    <font>
      <u/>
      <sz val="8"/>
      <name val="New Times Roman"/>
    </font>
    <font>
      <b/>
      <sz val="8"/>
      <color rgb="FF00B050"/>
      <name val="New Times Roman"/>
    </font>
    <font>
      <b/>
      <sz val="8"/>
      <color theme="6" tint="-0.249977111117893"/>
      <name val="New Times Roman"/>
    </font>
    <font>
      <sz val="9"/>
      <color rgb="FF0000FF"/>
      <name val="Arial"/>
      <family val="2"/>
    </font>
    <font>
      <sz val="9"/>
      <name val="Arial"/>
      <family val="2"/>
    </font>
    <font>
      <i/>
      <sz val="8"/>
      <name val="New Times Roman"/>
    </font>
    <font>
      <i/>
      <sz val="8"/>
      <color rgb="FFFF0000"/>
      <name val="New Times Roman"/>
    </font>
    <font>
      <b/>
      <sz val="8"/>
      <color theme="6" tint="-0.499984740745262"/>
      <name val="New Times Roman"/>
    </font>
    <font>
      <sz val="8"/>
      <color theme="6" tint="-0.499984740745262"/>
      <name val="New Times Roman"/>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26">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8">
    <xf numFmtId="0" fontId="0" fillId="0" borderId="0"/>
    <xf numFmtId="43" fontId="7" fillId="0" borderId="0" applyFont="0" applyFill="0" applyBorder="0" applyAlignment="0" applyProtection="0"/>
    <xf numFmtId="3"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0" fontId="7" fillId="0" borderId="0"/>
    <xf numFmtId="37" fontId="40" fillId="0" borderId="0"/>
    <xf numFmtId="0" fontId="15" fillId="0" borderId="0"/>
    <xf numFmtId="0" fontId="15" fillId="0" borderId="0"/>
    <xf numFmtId="0" fontId="7" fillId="0" borderId="0"/>
    <xf numFmtId="0" fontId="7" fillId="0" borderId="0"/>
    <xf numFmtId="0" fontId="7" fillId="0" borderId="0"/>
    <xf numFmtId="0" fontId="7" fillId="0" borderId="0"/>
    <xf numFmtId="0" fontId="49" fillId="0" borderId="0"/>
    <xf numFmtId="0" fontId="49" fillId="0" borderId="0"/>
    <xf numFmtId="0" fontId="72" fillId="0" borderId="0"/>
    <xf numFmtId="0" fontId="11" fillId="0" borderId="0"/>
    <xf numFmtId="0" fontId="11" fillId="0" borderId="0"/>
    <xf numFmtId="0" fontId="53" fillId="0" borderId="0"/>
    <xf numFmtId="169" fontId="7" fillId="0" borderId="0"/>
    <xf numFmtId="179" fontId="7" fillId="0" borderId="0"/>
    <xf numFmtId="170" fontId="7" fillId="0" borderId="0"/>
    <xf numFmtId="171" fontId="7" fillId="0" borderId="0"/>
    <xf numFmtId="172" fontId="7" fillId="0" borderId="0"/>
    <xf numFmtId="173" fontId="7" fillId="0" borderId="0"/>
    <xf numFmtId="174" fontId="7" fillId="0" borderId="0"/>
    <xf numFmtId="175" fontId="7" fillId="0" borderId="0"/>
    <xf numFmtId="176" fontId="7" fillId="0" borderId="0"/>
    <xf numFmtId="177" fontId="7" fillId="0" borderId="0"/>
    <xf numFmtId="178" fontId="7" fillId="0" borderId="0"/>
    <xf numFmtId="49" fontId="7" fillId="0" borderId="0"/>
    <xf numFmtId="0" fontId="15" fillId="0" borderId="1" applyNumberFormat="0" applyFont="0" applyFill="0" applyAlignment="0" applyProtection="0"/>
    <xf numFmtId="0" fontId="7" fillId="0" borderId="0"/>
    <xf numFmtId="9" fontId="7" fillId="0" borderId="0" applyFont="0" applyFill="0" applyBorder="0" applyAlignment="0" applyProtection="0"/>
    <xf numFmtId="0" fontId="7" fillId="0" borderId="0"/>
    <xf numFmtId="0" fontId="25" fillId="0" borderId="0"/>
    <xf numFmtId="44" fontId="80" fillId="0" borderId="0" applyFont="0" applyFill="0" applyBorder="0" applyAlignment="0" applyProtection="0"/>
    <xf numFmtId="0" fontId="25" fillId="0" borderId="0"/>
    <xf numFmtId="0" fontId="8" fillId="0" borderId="0"/>
    <xf numFmtId="0" fontId="6" fillId="0" borderId="0"/>
    <xf numFmtId="43" fontId="7"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5" fillId="0" borderId="1" applyNumberFormat="0" applyFont="0" applyFill="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91" fillId="0" borderId="0"/>
    <xf numFmtId="43" fontId="25" fillId="0" borderId="0" applyFont="0" applyFill="0" applyBorder="0" applyAlignment="0" applyProtection="0"/>
    <xf numFmtId="9" fontId="25" fillId="0" borderId="0" applyFont="0" applyFill="0" applyBorder="0" applyAlignment="0" applyProtection="0"/>
    <xf numFmtId="0" fontId="15" fillId="0" borderId="0"/>
    <xf numFmtId="0" fontId="25" fillId="0" borderId="0"/>
    <xf numFmtId="0" fontId="3" fillId="0" borderId="0"/>
    <xf numFmtId="43" fontId="3"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3" fillId="0" borderId="0"/>
    <xf numFmtId="0" fontId="25" fillId="0" borderId="0"/>
    <xf numFmtId="43" fontId="27" fillId="0" borderId="0" applyFont="0" applyFill="0" applyBorder="0" applyAlignment="0" applyProtection="0"/>
    <xf numFmtId="43" fontId="7"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7" fillId="0" borderId="0"/>
    <xf numFmtId="0" fontId="27" fillId="0" borderId="0"/>
    <xf numFmtId="0" fontId="7" fillId="0" borderId="0"/>
    <xf numFmtId="9" fontId="27" fillId="0" borderId="0" applyFont="0" applyFill="0" applyBorder="0" applyAlignment="0" applyProtection="0"/>
    <xf numFmtId="0" fontId="15" fillId="0" borderId="1" applyNumberFormat="0" applyFont="0" applyFill="0" applyAlignment="0" applyProtection="0"/>
    <xf numFmtId="44" fontId="7" fillId="0" borderId="0" applyFont="0" applyFill="0" applyBorder="0" applyAlignment="0" applyProtection="0"/>
    <xf numFmtId="0" fontId="25" fillId="0" borderId="0"/>
    <xf numFmtId="0" fontId="2" fillId="0" borderId="0"/>
    <xf numFmtId="43" fontId="2" fillId="0" borderId="0" applyFont="0" applyFill="0" applyBorder="0" applyAlignment="0" applyProtection="0"/>
    <xf numFmtId="0" fontId="7" fillId="0" borderId="0"/>
    <xf numFmtId="0" fontId="25" fillId="0" borderId="0"/>
    <xf numFmtId="0" fontId="2" fillId="0" borderId="0"/>
    <xf numFmtId="0" fontId="2" fillId="0" borderId="0"/>
    <xf numFmtId="0" fontId="1" fillId="0" borderId="0"/>
    <xf numFmtId="0" fontId="1" fillId="0" borderId="0"/>
    <xf numFmtId="0" fontId="7" fillId="0" borderId="0"/>
    <xf numFmtId="0" fontId="7" fillId="0" borderId="0"/>
    <xf numFmtId="43" fontId="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06" fillId="0" borderId="0"/>
    <xf numFmtId="0" fontId="9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07" fillId="0" borderId="0"/>
    <xf numFmtId="0" fontId="2" fillId="0" borderId="0"/>
    <xf numFmtId="0" fontId="107" fillId="0" borderId="0"/>
    <xf numFmtId="0" fontId="2" fillId="0" borderId="0"/>
    <xf numFmtId="0" fontId="107" fillId="0" borderId="0"/>
    <xf numFmtId="0" fontId="2"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 fillId="0" borderId="0"/>
    <xf numFmtId="179" fontId="7" fillId="0" borderId="0"/>
    <xf numFmtId="170" fontId="7" fillId="0" borderId="0"/>
    <xf numFmtId="171" fontId="7" fillId="0" borderId="0"/>
    <xf numFmtId="172" fontId="7" fillId="0" borderId="0"/>
    <xf numFmtId="173" fontId="7" fillId="0" borderId="0"/>
    <xf numFmtId="174" fontId="7" fillId="0" borderId="0"/>
    <xf numFmtId="175" fontId="7" fillId="0" borderId="0"/>
    <xf numFmtId="176" fontId="7" fillId="0" borderId="0"/>
    <xf numFmtId="177" fontId="7" fillId="0" borderId="0"/>
    <xf numFmtId="178" fontId="7" fillId="0" borderId="0"/>
    <xf numFmtId="9" fontId="7" fillId="0" borderId="0" applyFont="0" applyFill="0" applyBorder="0" applyAlignment="0" applyProtection="0"/>
    <xf numFmtId="49" fontId="7" fillId="0" borderId="0"/>
    <xf numFmtId="0" fontId="27" fillId="0" borderId="0"/>
    <xf numFmtId="0" fontId="1" fillId="0" borderId="0"/>
  </cellStyleXfs>
  <cellXfs count="1661">
    <xf numFmtId="0" fontId="0" fillId="0" borderId="0" xfId="0"/>
    <xf numFmtId="0" fontId="8" fillId="2" borderId="2" xfId="15" applyFont="1" applyFill="1" applyBorder="1" applyAlignment="1" applyProtection="1">
      <alignment horizontal="center"/>
      <protection locked="0"/>
    </xf>
    <xf numFmtId="0" fontId="8" fillId="0" borderId="0" xfId="0" applyFont="1"/>
    <xf numFmtId="41" fontId="8" fillId="0" borderId="0" xfId="0" applyNumberFormat="1" applyFont="1"/>
    <xf numFmtId="0" fontId="8" fillId="0" borderId="0" xfId="0" applyFont="1" applyAlignment="1">
      <alignment horizontal="left"/>
    </xf>
    <xf numFmtId="41" fontId="8" fillId="0" borderId="0" xfId="0" applyNumberFormat="1" applyFont="1" applyAlignment="1">
      <alignment horizontal="left"/>
    </xf>
    <xf numFmtId="0" fontId="16" fillId="0" borderId="0" xfId="0" applyFont="1" applyAlignment="1">
      <alignment horizontal="right"/>
    </xf>
    <xf numFmtId="0" fontId="9" fillId="0" borderId="0" xfId="0" applyFont="1"/>
    <xf numFmtId="41" fontId="8" fillId="0" borderId="3" xfId="0" applyNumberFormat="1" applyFont="1" applyBorder="1"/>
    <xf numFmtId="41" fontId="16" fillId="0" borderId="0" xfId="0" applyNumberFormat="1" applyFont="1" applyAlignment="1">
      <alignment horizontal="right"/>
    </xf>
    <xf numFmtId="41" fontId="8" fillId="2" borderId="2" xfId="0" applyNumberFormat="1" applyFont="1" applyFill="1" applyBorder="1" applyProtection="1">
      <protection locked="0"/>
    </xf>
    <xf numFmtId="41" fontId="8" fillId="2" borderId="2" xfId="1" applyNumberFormat="1" applyFont="1" applyFill="1" applyBorder="1" applyProtection="1">
      <protection locked="0"/>
    </xf>
    <xf numFmtId="41" fontId="8" fillId="2" borderId="2" xfId="1" applyNumberFormat="1" applyFont="1" applyFill="1" applyBorder="1" applyAlignment="1" applyProtection="1">
      <alignment horizontal="right"/>
      <protection locked="0"/>
    </xf>
    <xf numFmtId="0" fontId="8" fillId="0" borderId="0" xfId="15" applyFont="1"/>
    <xf numFmtId="0" fontId="9" fillId="0" borderId="0" xfId="15" applyFont="1"/>
    <xf numFmtId="0" fontId="9" fillId="0" borderId="2" xfId="15" applyFont="1" applyBorder="1" applyAlignment="1">
      <alignment horizontal="center" wrapText="1"/>
    </xf>
    <xf numFmtId="0" fontId="9" fillId="0" borderId="0" xfId="15" applyFont="1" applyAlignment="1">
      <alignment horizontal="center" wrapText="1"/>
    </xf>
    <xf numFmtId="0" fontId="8" fillId="2" borderId="2" xfId="15" applyFont="1" applyFill="1" applyBorder="1" applyAlignment="1" applyProtection="1">
      <alignment wrapText="1"/>
      <protection locked="0"/>
    </xf>
    <xf numFmtId="0" fontId="24" fillId="0" borderId="0" xfId="0" applyFont="1"/>
    <xf numFmtId="0" fontId="25" fillId="0" borderId="0" xfId="0" applyFont="1"/>
    <xf numFmtId="41" fontId="8" fillId="0" borderId="0" xfId="0" applyNumberFormat="1" applyFont="1" applyAlignment="1">
      <alignment horizontal="center"/>
    </xf>
    <xf numFmtId="0" fontId="25" fillId="0" borderId="0" xfId="0" applyFont="1" applyAlignment="1">
      <alignment horizontal="left"/>
    </xf>
    <xf numFmtId="168" fontId="25" fillId="0" borderId="0" xfId="0" applyNumberFormat="1" applyFont="1" applyAlignment="1">
      <alignment horizontal="left"/>
    </xf>
    <xf numFmtId="0" fontId="25" fillId="0" borderId="0" xfId="0" applyFont="1" applyAlignment="1">
      <alignment horizontal="center"/>
    </xf>
    <xf numFmtId="41" fontId="29" fillId="2" borderId="2" xfId="1" applyNumberFormat="1" applyFont="1" applyFill="1" applyBorder="1" applyProtection="1">
      <protection locked="0"/>
    </xf>
    <xf numFmtId="41" fontId="29" fillId="0" borderId="0" xfId="1" applyNumberFormat="1" applyFont="1" applyFill="1" applyBorder="1" applyProtection="1"/>
    <xf numFmtId="0" fontId="24" fillId="0" borderId="0" xfId="0" applyFont="1" applyAlignment="1">
      <alignment horizontal="left" vertical="top"/>
    </xf>
    <xf numFmtId="0" fontId="25" fillId="0" borderId="0" xfId="0" applyFont="1" applyAlignment="1">
      <alignment horizontal="right" vertical="top" wrapText="1"/>
    </xf>
    <xf numFmtId="0" fontId="25" fillId="0" borderId="0" xfId="0" applyFont="1" applyAlignment="1">
      <alignment vertical="top"/>
    </xf>
    <xf numFmtId="0" fontId="24" fillId="0" borderId="0" xfId="0" applyFont="1" applyAlignment="1">
      <alignment horizontal="center"/>
    </xf>
    <xf numFmtId="42" fontId="29" fillId="0" borderId="0" xfId="1" applyNumberFormat="1" applyFont="1" applyFill="1" applyBorder="1" applyProtection="1"/>
    <xf numFmtId="41" fontId="25" fillId="0" borderId="2" xfId="0" applyNumberFormat="1" applyFont="1" applyBorder="1"/>
    <xf numFmtId="0" fontId="25" fillId="0" borderId="0" xfId="0" applyFont="1" applyAlignment="1">
      <alignment horizontal="right"/>
    </xf>
    <xf numFmtId="42" fontId="25" fillId="0" borderId="0" xfId="1" applyNumberFormat="1" applyFont="1" applyFill="1" applyBorder="1" applyProtection="1"/>
    <xf numFmtId="0" fontId="24" fillId="3" borderId="2" xfId="0" applyFont="1" applyFill="1" applyBorder="1" applyAlignment="1">
      <alignment horizontal="center"/>
    </xf>
    <xf numFmtId="0" fontId="24" fillId="0" borderId="0" xfId="0" applyFont="1" applyAlignment="1">
      <alignment horizontal="center" vertical="top" wrapText="1"/>
    </xf>
    <xf numFmtId="42" fontId="24" fillId="0" borderId="0" xfId="0" applyNumberFormat="1" applyFont="1"/>
    <xf numFmtId="0" fontId="26" fillId="0" borderId="0" xfId="0" applyFont="1"/>
    <xf numFmtId="37" fontId="25" fillId="0" borderId="0" xfId="0" applyNumberFormat="1" applyFont="1"/>
    <xf numFmtId="37" fontId="24" fillId="0" borderId="0" xfId="0" applyNumberFormat="1" applyFont="1" applyAlignment="1">
      <alignment horizontal="center" wrapText="1"/>
    </xf>
    <xf numFmtId="41" fontId="25" fillId="2" borderId="2" xfId="1" applyNumberFormat="1" applyFont="1" applyFill="1" applyBorder="1" applyProtection="1">
      <protection locked="0"/>
    </xf>
    <xf numFmtId="0" fontId="25" fillId="2" borderId="2" xfId="0" applyFont="1" applyFill="1" applyBorder="1" applyAlignment="1" applyProtection="1">
      <alignment vertical="top" wrapText="1"/>
      <protection locked="0"/>
    </xf>
    <xf numFmtId="0" fontId="9" fillId="0" borderId="0" xfId="0" applyFont="1" applyAlignment="1">
      <alignment horizontal="center"/>
    </xf>
    <xf numFmtId="41" fontId="9" fillId="0" borderId="0" xfId="0" applyNumberFormat="1" applyFont="1" applyAlignment="1">
      <alignment horizontal="center"/>
    </xf>
    <xf numFmtId="41" fontId="9" fillId="0" borderId="5" xfId="0" applyNumberFormat="1" applyFont="1" applyBorder="1" applyAlignment="1">
      <alignment horizontal="center"/>
    </xf>
    <xf numFmtId="41" fontId="8" fillId="2" borderId="6" xfId="0" applyNumberFormat="1" applyFont="1" applyFill="1" applyBorder="1" applyProtection="1">
      <protection locked="0"/>
    </xf>
    <xf numFmtId="0" fontId="33" fillId="0" borderId="0" xfId="0" applyFont="1"/>
    <xf numFmtId="0" fontId="34" fillId="0" borderId="0" xfId="0" applyFont="1"/>
    <xf numFmtId="0" fontId="35" fillId="0" borderId="0" xfId="0" applyFont="1"/>
    <xf numFmtId="0" fontId="36" fillId="0" borderId="0" xfId="0" applyFont="1"/>
    <xf numFmtId="0" fontId="36" fillId="0" borderId="0" xfId="0" applyFont="1" applyAlignment="1">
      <alignment vertical="top"/>
    </xf>
    <xf numFmtId="0" fontId="35" fillId="0" borderId="0" xfId="0" applyFont="1" applyAlignment="1">
      <alignment horizontal="left"/>
    </xf>
    <xf numFmtId="0" fontId="35" fillId="0" borderId="0" xfId="0" applyFont="1" applyAlignment="1">
      <alignment vertical="top"/>
    </xf>
    <xf numFmtId="0" fontId="37" fillId="0" borderId="0" xfId="11" applyFont="1"/>
    <xf numFmtId="0" fontId="37" fillId="0" borderId="0" xfId="12" applyFont="1"/>
    <xf numFmtId="0" fontId="38" fillId="0" borderId="0" xfId="0" applyFont="1" applyAlignment="1">
      <alignment horizontal="right"/>
    </xf>
    <xf numFmtId="0" fontId="39" fillId="0" borderId="0" xfId="0" applyFont="1" applyAlignment="1">
      <alignment horizontal="right"/>
    </xf>
    <xf numFmtId="38" fontId="8" fillId="0" borderId="3" xfId="21" applyNumberFormat="1" applyFont="1" applyBorder="1" applyAlignment="1">
      <alignment horizontal="center" wrapText="1"/>
    </xf>
    <xf numFmtId="164" fontId="8" fillId="2" borderId="2" xfId="1" applyNumberFormat="1" applyFont="1" applyFill="1" applyBorder="1" applyAlignment="1" applyProtection="1">
      <alignment horizontal="center"/>
      <protection locked="0"/>
    </xf>
    <xf numFmtId="0" fontId="9" fillId="0" borderId="0" xfId="0" applyFont="1" applyAlignment="1">
      <alignment horizontal="center" vertical="top" wrapText="1"/>
    </xf>
    <xf numFmtId="0" fontId="24" fillId="0" borderId="0" xfId="0" applyFont="1" applyAlignment="1">
      <alignment wrapText="1"/>
    </xf>
    <xf numFmtId="0" fontId="24" fillId="0" borderId="5" xfId="0" applyFont="1" applyBorder="1" applyAlignment="1">
      <alignment wrapText="1"/>
    </xf>
    <xf numFmtId="168" fontId="25" fillId="0" borderId="5" xfId="0" applyNumberFormat="1" applyFont="1" applyBorder="1" applyAlignment="1">
      <alignment horizontal="left"/>
    </xf>
    <xf numFmtId="0" fontId="25" fillId="0" borderId="5" xfId="0" applyFont="1" applyBorder="1" applyAlignment="1">
      <alignment horizontal="left"/>
    </xf>
    <xf numFmtId="0" fontId="25" fillId="0" borderId="5" xfId="0" applyFont="1" applyBorder="1"/>
    <xf numFmtId="41" fontId="29" fillId="0" borderId="7" xfId="1" applyNumberFormat="1" applyFont="1" applyFill="1" applyBorder="1" applyProtection="1"/>
    <xf numFmtId="41" fontId="29" fillId="0" borderId="8" xfId="1" applyNumberFormat="1" applyFont="1" applyFill="1" applyBorder="1" applyProtection="1"/>
    <xf numFmtId="41" fontId="25" fillId="0" borderId="0" xfId="0" applyNumberFormat="1" applyFont="1"/>
    <xf numFmtId="37" fontId="25" fillId="0" borderId="0" xfId="10" applyFont="1"/>
    <xf numFmtId="37" fontId="25" fillId="0" borderId="9" xfId="10" applyFont="1" applyBorder="1"/>
    <xf numFmtId="37" fontId="25" fillId="0" borderId="3" xfId="10" applyFont="1" applyBorder="1"/>
    <xf numFmtId="37" fontId="25" fillId="0" borderId="10" xfId="10" applyFont="1" applyBorder="1"/>
    <xf numFmtId="37" fontId="25" fillId="0" borderId="11" xfId="10" applyFont="1" applyBorder="1"/>
    <xf numFmtId="37" fontId="25" fillId="0" borderId="12" xfId="10" applyFont="1" applyBorder="1"/>
    <xf numFmtId="37" fontId="25" fillId="0" borderId="13" xfId="10" applyFont="1" applyBorder="1"/>
    <xf numFmtId="41" fontId="25" fillId="0" borderId="0" xfId="10" quotePrefix="1" applyNumberFormat="1" applyFont="1"/>
    <xf numFmtId="37" fontId="25" fillId="0" borderId="0" xfId="10" quotePrefix="1" applyFont="1"/>
    <xf numFmtId="49" fontId="25" fillId="0" borderId="0" xfId="10" applyNumberFormat="1" applyFont="1"/>
    <xf numFmtId="37" fontId="41" fillId="0" borderId="0" xfId="10" applyFont="1"/>
    <xf numFmtId="49" fontId="25" fillId="0" borderId="0" xfId="0" applyNumberFormat="1" applyFont="1"/>
    <xf numFmtId="0" fontId="43" fillId="0" borderId="0" xfId="0" applyFont="1"/>
    <xf numFmtId="0" fontId="43" fillId="0" borderId="0" xfId="0" applyFont="1" applyAlignment="1">
      <alignment horizontal="right"/>
    </xf>
    <xf numFmtId="0" fontId="44" fillId="0" borderId="0" xfId="20" applyFont="1"/>
    <xf numFmtId="164" fontId="44" fillId="0" borderId="0" xfId="1" applyNumberFormat="1" applyFont="1" applyBorder="1" applyProtection="1"/>
    <xf numFmtId="0" fontId="44" fillId="4" borderId="0" xfId="20" applyFont="1" applyFill="1"/>
    <xf numFmtId="164" fontId="44" fillId="4" borderId="0" xfId="1" applyNumberFormat="1" applyFont="1" applyFill="1" applyBorder="1" applyProtection="1"/>
    <xf numFmtId="0" fontId="45" fillId="0" borderId="0" xfId="20" applyFont="1"/>
    <xf numFmtId="0" fontId="9" fillId="0" borderId="0" xfId="20" applyFont="1"/>
    <xf numFmtId="0" fontId="8" fillId="0" borderId="0" xfId="20" applyFont="1"/>
    <xf numFmtId="164" fontId="8" fillId="0" borderId="0" xfId="1" applyNumberFormat="1" applyFont="1" applyBorder="1" applyProtection="1"/>
    <xf numFmtId="164" fontId="8" fillId="0" borderId="0" xfId="1" applyNumberFormat="1" applyFont="1" applyBorder="1" applyAlignment="1" applyProtection="1">
      <alignment horizontal="right"/>
    </xf>
    <xf numFmtId="0" fontId="18" fillId="0" borderId="0" xfId="20" applyFont="1"/>
    <xf numFmtId="164" fontId="8" fillId="0" borderId="0" xfId="1" applyNumberFormat="1" applyFont="1" applyFill="1" applyBorder="1" applyAlignment="1" applyProtection="1">
      <alignment horizontal="right"/>
    </xf>
    <xf numFmtId="164" fontId="8" fillId="0" borderId="0" xfId="1" applyNumberFormat="1" applyFont="1" applyFill="1" applyBorder="1" applyProtection="1"/>
    <xf numFmtId="164" fontId="8" fillId="0" borderId="0" xfId="1" applyNumberFormat="1" applyFont="1" applyBorder="1" applyAlignment="1" applyProtection="1">
      <alignment horizontal="center" wrapText="1"/>
    </xf>
    <xf numFmtId="164" fontId="14" fillId="0" borderId="0" xfId="1" applyNumberFormat="1" applyFont="1" applyFill="1" applyBorder="1" applyProtection="1"/>
    <xf numFmtId="0" fontId="8" fillId="0" borderId="0" xfId="20" applyFont="1" applyAlignment="1">
      <alignment horizontal="center" wrapText="1"/>
    </xf>
    <xf numFmtId="0" fontId="8" fillId="0" borderId="0" xfId="20" applyFont="1" applyAlignment="1">
      <alignment horizontal="right"/>
    </xf>
    <xf numFmtId="41" fontId="29" fillId="0" borderId="2" xfId="1" applyNumberFormat="1" applyFont="1" applyFill="1" applyBorder="1" applyProtection="1"/>
    <xf numFmtId="3" fontId="25" fillId="0" borderId="0" xfId="10" applyNumberFormat="1" applyFont="1"/>
    <xf numFmtId="0" fontId="24" fillId="0" borderId="2" xfId="0" applyFont="1" applyBorder="1" applyAlignment="1">
      <alignment horizontal="center"/>
    </xf>
    <xf numFmtId="41" fontId="8" fillId="2" borderId="14" xfId="0" applyNumberFormat="1" applyFont="1" applyFill="1" applyBorder="1" applyProtection="1">
      <protection locked="0"/>
    </xf>
    <xf numFmtId="0" fontId="47" fillId="0" borderId="0" xfId="9" applyFont="1"/>
    <xf numFmtId="0" fontId="48" fillId="0" borderId="0" xfId="9" applyFont="1"/>
    <xf numFmtId="0" fontId="25" fillId="0" borderId="0" xfId="14" applyFont="1" applyAlignment="1">
      <alignment vertical="top"/>
    </xf>
    <xf numFmtId="0" fontId="25" fillId="0" borderId="0" xfId="14" applyFont="1"/>
    <xf numFmtId="0" fontId="50" fillId="0" borderId="0" xfId="14" applyFont="1" applyAlignment="1">
      <alignment horizontal="center"/>
    </xf>
    <xf numFmtId="41" fontId="25" fillId="0" borderId="2" xfId="1" applyNumberFormat="1" applyFont="1" applyFill="1" applyBorder="1" applyAlignment="1" applyProtection="1">
      <alignment horizontal="right"/>
    </xf>
    <xf numFmtId="41" fontId="25" fillId="0" borderId="7" xfId="1" applyNumberFormat="1" applyFont="1" applyBorder="1" applyAlignment="1" applyProtection="1">
      <alignment horizontal="right"/>
    </xf>
    <xf numFmtId="0" fontId="45" fillId="0" borderId="0" xfId="0" applyFont="1"/>
    <xf numFmtId="164" fontId="9" fillId="0" borderId="0" xfId="1" applyNumberFormat="1" applyFont="1" applyFill="1" applyBorder="1" applyAlignment="1" applyProtection="1">
      <alignment horizontal="center"/>
    </xf>
    <xf numFmtId="0" fontId="25" fillId="0" borderId="0" xfId="9" applyFont="1"/>
    <xf numFmtId="0" fontId="24" fillId="0" borderId="0" xfId="9" applyFont="1" applyAlignment="1">
      <alignment horizontal="right"/>
    </xf>
    <xf numFmtId="0" fontId="34" fillId="0" borderId="0" xfId="16" applyFont="1" applyAlignment="1">
      <alignment horizontal="left" vertical="top"/>
    </xf>
    <xf numFmtId="0" fontId="35" fillId="0" borderId="0" xfId="21" applyFont="1"/>
    <xf numFmtId="38" fontId="35" fillId="0" borderId="0" xfId="21" applyNumberFormat="1" applyFont="1"/>
    <xf numFmtId="0" fontId="8" fillId="0" borderId="5" xfId="0" applyFont="1" applyBorder="1"/>
    <xf numFmtId="41" fontId="25" fillId="2" borderId="2" xfId="1" applyNumberFormat="1" applyFont="1" applyFill="1" applyBorder="1" applyAlignment="1" applyProtection="1">
      <alignment horizontal="right"/>
      <protection locked="0"/>
    </xf>
    <xf numFmtId="0" fontId="34" fillId="0" borderId="0" xfId="0" applyFont="1" applyAlignment="1">
      <alignment horizontal="left"/>
    </xf>
    <xf numFmtId="10" fontId="8" fillId="0" borderId="0" xfId="0" applyNumberFormat="1" applyFont="1" applyAlignment="1">
      <alignment horizontal="right"/>
    </xf>
    <xf numFmtId="0" fontId="34" fillId="0" borderId="0" xfId="0" applyFont="1" applyAlignment="1">
      <alignment horizontal="left" vertical="top"/>
    </xf>
    <xf numFmtId="0" fontId="9" fillId="0" borderId="0" xfId="20" applyFont="1" applyAlignment="1">
      <alignment horizontal="left" vertical="top" wrapText="1"/>
    </xf>
    <xf numFmtId="0" fontId="24" fillId="0" borderId="0" xfId="0" applyFont="1" applyAlignment="1">
      <alignment horizontal="left"/>
    </xf>
    <xf numFmtId="166" fontId="24" fillId="0" borderId="0" xfId="0" applyNumberFormat="1" applyFont="1" applyAlignment="1">
      <alignment horizontal="left"/>
    </xf>
    <xf numFmtId="0" fontId="9" fillId="0" borderId="0" xfId="20" applyFont="1" applyAlignment="1">
      <alignment vertical="center"/>
    </xf>
    <xf numFmtId="0" fontId="9" fillId="0" borderId="0" xfId="20" applyFont="1" applyAlignment="1">
      <alignment horizontal="centerContinuous" vertical="center"/>
    </xf>
    <xf numFmtId="0" fontId="8" fillId="0" borderId="0" xfId="20" applyFont="1" applyAlignment="1">
      <alignment vertical="center"/>
    </xf>
    <xf numFmtId="166" fontId="35" fillId="0" borderId="12" xfId="0" applyNumberFormat="1" applyFont="1" applyBorder="1" applyAlignment="1">
      <alignment horizontal="left"/>
    </xf>
    <xf numFmtId="0" fontId="35" fillId="0" borderId="12" xfId="0" applyFont="1" applyBorder="1"/>
    <xf numFmtId="0" fontId="8" fillId="0" borderId="12" xfId="20" applyFont="1" applyBorder="1" applyAlignment="1">
      <alignment vertical="center"/>
    </xf>
    <xf numFmtId="0" fontId="9" fillId="0" borderId="12" xfId="20" applyFont="1" applyBorder="1" applyAlignment="1">
      <alignment horizontal="centerContinuous" vertical="center"/>
    </xf>
    <xf numFmtId="0" fontId="25" fillId="0" borderId="0" xfId="0" applyFont="1" applyAlignment="1">
      <alignment wrapText="1"/>
    </xf>
    <xf numFmtId="0" fontId="56" fillId="0" borderId="0" xfId="0" applyFont="1"/>
    <xf numFmtId="0" fontId="57" fillId="0" borderId="0" xfId="0" applyFont="1" applyAlignment="1">
      <alignment horizontal="right"/>
    </xf>
    <xf numFmtId="41" fontId="57" fillId="0" borderId="0" xfId="0" applyNumberFormat="1" applyFont="1"/>
    <xf numFmtId="0" fontId="25" fillId="0" borderId="2" xfId="0" applyFont="1" applyBorder="1"/>
    <xf numFmtId="0" fontId="25" fillId="0" borderId="2" xfId="0" applyFont="1" applyBorder="1" applyAlignment="1">
      <alignment horizontal="center" wrapText="1"/>
    </xf>
    <xf numFmtId="0" fontId="35" fillId="0" borderId="0" xfId="0" applyFont="1" applyAlignment="1">
      <alignment horizontal="right"/>
    </xf>
    <xf numFmtId="0" fontId="7" fillId="0" borderId="0" xfId="0" applyFont="1"/>
    <xf numFmtId="10" fontId="8" fillId="0" borderId="3" xfId="0" applyNumberFormat="1" applyFont="1" applyBorder="1" applyAlignment="1">
      <alignment horizontal="right"/>
    </xf>
    <xf numFmtId="41" fontId="8" fillId="0" borderId="7" xfId="0" applyNumberFormat="1" applyFont="1" applyBorder="1"/>
    <xf numFmtId="41" fontId="20" fillId="0" borderId="0" xfId="0" applyNumberFormat="1" applyFont="1"/>
    <xf numFmtId="0" fontId="20" fillId="0" borderId="0" xfId="0" applyFont="1" applyAlignment="1">
      <alignment horizontal="right"/>
    </xf>
    <xf numFmtId="0" fontId="8" fillId="0" borderId="0" xfId="0" applyFont="1" applyAlignment="1">
      <alignment horizontal="center"/>
    </xf>
    <xf numFmtId="0" fontId="8" fillId="0" borderId="12" xfId="0" applyFont="1" applyBorder="1"/>
    <xf numFmtId="0" fontId="8" fillId="0" borderId="12" xfId="0" applyFont="1" applyBorder="1" applyAlignment="1">
      <alignment horizontal="left"/>
    </xf>
    <xf numFmtId="0" fontId="8" fillId="0" borderId="12" xfId="0" applyFont="1" applyBorder="1" applyAlignment="1">
      <alignment horizontal="center"/>
    </xf>
    <xf numFmtId="41" fontId="8" fillId="0" borderId="12" xfId="0" applyNumberFormat="1" applyFont="1" applyBorder="1"/>
    <xf numFmtId="0" fontId="9" fillId="0" borderId="0" xfId="21" applyFont="1" applyAlignment="1">
      <alignment horizontal="left" wrapText="1"/>
    </xf>
    <xf numFmtId="0" fontId="8" fillId="0" borderId="0" xfId="21" applyFont="1"/>
    <xf numFmtId="41" fontId="20" fillId="0" borderId="0" xfId="0" applyNumberFormat="1" applyFont="1" applyAlignment="1">
      <alignment horizontal="center"/>
    </xf>
    <xf numFmtId="0" fontId="8" fillId="0" borderId="0" xfId="0" applyFont="1" applyAlignment="1">
      <alignment horizontal="left" vertical="top" wrapText="1"/>
    </xf>
    <xf numFmtId="0" fontId="8" fillId="0" borderId="0" xfId="20" applyFont="1" applyAlignment="1">
      <alignment horizontal="left" vertical="top" wrapText="1"/>
    </xf>
    <xf numFmtId="166" fontId="9" fillId="0" borderId="0" xfId="0" applyNumberFormat="1" applyFont="1" applyAlignment="1">
      <alignment horizontal="left"/>
    </xf>
    <xf numFmtId="0" fontId="8" fillId="0" borderId="2" xfId="13" applyFont="1" applyBorder="1" applyAlignment="1">
      <alignment horizontal="center" wrapText="1"/>
    </xf>
    <xf numFmtId="0" fontId="8" fillId="0" borderId="0" xfId="13" applyFont="1"/>
    <xf numFmtId="0" fontId="8" fillId="0" borderId="0" xfId="0" applyFont="1" applyAlignment="1">
      <alignment horizontal="left" vertical="top"/>
    </xf>
    <xf numFmtId="0" fontId="9" fillId="0" borderId="0" xfId="0" applyFont="1" applyAlignment="1">
      <alignment horizontal="left"/>
    </xf>
    <xf numFmtId="166" fontId="8" fillId="0" borderId="0" xfId="0" applyNumberFormat="1" applyFont="1" applyAlignment="1">
      <alignment horizontal="left"/>
    </xf>
    <xf numFmtId="0" fontId="8" fillId="0" borderId="12" xfId="0" applyFont="1" applyBorder="1" applyAlignment="1">
      <alignment horizontal="left" vertical="top"/>
    </xf>
    <xf numFmtId="0" fontId="8" fillId="0" borderId="12" xfId="20" applyFont="1" applyBorder="1" applyAlignment="1">
      <alignment horizontal="left" vertical="top" wrapText="1"/>
    </xf>
    <xf numFmtId="164" fontId="8" fillId="0" borderId="0" xfId="1" applyNumberFormat="1" applyFont="1" applyProtection="1"/>
    <xf numFmtId="41" fontId="25" fillId="0" borderId="10" xfId="0" applyNumberFormat="1" applyFont="1" applyBorder="1" applyAlignment="1">
      <alignment horizontal="center"/>
    </xf>
    <xf numFmtId="41" fontId="8" fillId="2" borderId="2" xfId="1" applyNumberFormat="1" applyFont="1" applyFill="1" applyBorder="1" applyAlignment="1" applyProtection="1">
      <alignment wrapText="1"/>
      <protection locked="0"/>
    </xf>
    <xf numFmtId="0" fontId="57" fillId="0" borderId="0" xfId="0" applyFont="1" applyAlignment="1">
      <alignment horizontal="center"/>
    </xf>
    <xf numFmtId="41" fontId="25" fillId="0" borderId="7" xfId="10" applyNumberFormat="1" applyFont="1" applyBorder="1"/>
    <xf numFmtId="41" fontId="25" fillId="2" borderId="2" xfId="10" applyNumberFormat="1" applyFont="1" applyFill="1" applyBorder="1" applyProtection="1">
      <protection locked="0"/>
    </xf>
    <xf numFmtId="41" fontId="25" fillId="2" borderId="2" xfId="10" quotePrefix="1" applyNumberFormat="1" applyFont="1" applyFill="1" applyBorder="1" applyProtection="1">
      <protection locked="0"/>
    </xf>
    <xf numFmtId="41" fontId="25" fillId="0" borderId="7" xfId="10" quotePrefix="1" applyNumberFormat="1" applyFont="1" applyBorder="1"/>
    <xf numFmtId="41" fontId="25" fillId="0" borderId="3" xfId="10" quotePrefix="1" applyNumberFormat="1" applyFont="1" applyBorder="1"/>
    <xf numFmtId="41" fontId="25" fillId="0" borderId="12" xfId="10" quotePrefix="1" applyNumberFormat="1" applyFont="1" applyBorder="1"/>
    <xf numFmtId="0" fontId="25" fillId="0" borderId="10" xfId="9" applyFont="1" applyBorder="1" applyAlignment="1">
      <alignment wrapText="1"/>
    </xf>
    <xf numFmtId="0" fontId="25" fillId="0" borderId="13" xfId="9" applyFont="1" applyBorder="1" applyAlignment="1">
      <alignment wrapText="1"/>
    </xf>
    <xf numFmtId="164" fontId="44" fillId="0" borderId="0" xfId="1" applyNumberFormat="1" applyFont="1" applyFill="1" applyBorder="1" applyProtection="1"/>
    <xf numFmtId="0" fontId="55" fillId="0" borderId="0" xfId="0" applyFont="1"/>
    <xf numFmtId="0" fontId="25" fillId="0" borderId="6" xfId="0" applyFont="1" applyBorder="1"/>
    <xf numFmtId="0" fontId="24" fillId="0" borderId="6" xfId="0" applyFont="1" applyBorder="1" applyAlignment="1">
      <alignment horizontal="center"/>
    </xf>
    <xf numFmtId="0" fontId="24" fillId="0" borderId="14" xfId="0" applyFont="1" applyBorder="1" applyAlignment="1">
      <alignment horizontal="center"/>
    </xf>
    <xf numFmtId="0" fontId="25" fillId="0" borderId="10" xfId="0" applyFont="1" applyBorder="1" applyAlignment="1">
      <alignment wrapText="1"/>
    </xf>
    <xf numFmtId="0" fontId="25" fillId="0" borderId="10" xfId="0" applyFont="1" applyBorder="1"/>
    <xf numFmtId="166" fontId="8" fillId="0" borderId="12" xfId="0" applyNumberFormat="1" applyFont="1" applyBorder="1" applyAlignment="1">
      <alignment horizontal="left"/>
    </xf>
    <xf numFmtId="0" fontId="8" fillId="0" borderId="0" xfId="0" applyFont="1" applyAlignment="1">
      <alignment wrapText="1"/>
    </xf>
    <xf numFmtId="0" fontId="14" fillId="0" borderId="0" xfId="0" applyFont="1"/>
    <xf numFmtId="0" fontId="34" fillId="0" borderId="2" xfId="0" applyFont="1" applyBorder="1"/>
    <xf numFmtId="41" fontId="25" fillId="0" borderId="0" xfId="1" applyNumberFormat="1" applyFont="1" applyFill="1" applyBorder="1" applyAlignment="1" applyProtection="1">
      <alignment horizontal="right"/>
    </xf>
    <xf numFmtId="41" fontId="25" fillId="0" borderId="2" xfId="0" applyNumberFormat="1" applyFont="1" applyBorder="1" applyAlignment="1">
      <alignment horizontal="center"/>
    </xf>
    <xf numFmtId="166" fontId="35" fillId="0" borderId="0" xfId="0" applyNumberFormat="1" applyFont="1" applyAlignment="1">
      <alignment horizontal="left"/>
    </xf>
    <xf numFmtId="0" fontId="57" fillId="0" borderId="0" xfId="0" applyFont="1" applyAlignment="1">
      <alignment horizontal="right" wrapText="1"/>
    </xf>
    <xf numFmtId="41" fontId="57" fillId="0" borderId="0" xfId="1" applyNumberFormat="1" applyFont="1" applyBorder="1" applyProtection="1"/>
    <xf numFmtId="41" fontId="25" fillId="0" borderId="2" xfId="0" applyNumberFormat="1" applyFont="1" applyBorder="1" applyAlignment="1">
      <alignment horizontal="center" wrapText="1"/>
    </xf>
    <xf numFmtId="0" fontId="25" fillId="0" borderId="2" xfId="0" applyFont="1" applyBorder="1" applyAlignment="1">
      <alignment horizontal="center"/>
    </xf>
    <xf numFmtId="164" fontId="8" fillId="0" borderId="0" xfId="1" applyNumberFormat="1" applyFont="1" applyAlignment="1" applyProtection="1">
      <alignment vertical="center"/>
    </xf>
    <xf numFmtId="164" fontId="8" fillId="0" borderId="0" xfId="1" applyNumberFormat="1" applyFont="1" applyAlignment="1" applyProtection="1">
      <alignment horizontal="centerContinuous" vertical="center"/>
    </xf>
    <xf numFmtId="164" fontId="8" fillId="0" borderId="0" xfId="1" applyNumberFormat="1" applyFont="1" applyBorder="1" applyAlignment="1" applyProtection="1">
      <alignment horizontal="centerContinuous" vertical="center"/>
    </xf>
    <xf numFmtId="0" fontId="20" fillId="0" borderId="0" xfId="20" applyFont="1" applyAlignment="1">
      <alignment horizontal="center" vertical="center"/>
    </xf>
    <xf numFmtId="164" fontId="8" fillId="0" borderId="12" xfId="1" applyNumberFormat="1" applyFont="1" applyBorder="1" applyAlignment="1" applyProtection="1">
      <alignment horizontal="centerContinuous" vertical="center"/>
    </xf>
    <xf numFmtId="164" fontId="8" fillId="0" borderId="0" xfId="1" applyNumberFormat="1" applyFont="1" applyAlignment="1" applyProtection="1">
      <alignment horizontal="center"/>
    </xf>
    <xf numFmtId="41" fontId="8" fillId="0" borderId="0" xfId="20" applyNumberFormat="1" applyFont="1" applyAlignment="1">
      <alignment horizontal="right"/>
    </xf>
    <xf numFmtId="41" fontId="8" fillId="0" borderId="0" xfId="1" applyNumberFormat="1" applyFont="1" applyAlignment="1" applyProtection="1">
      <alignment horizontal="right"/>
    </xf>
    <xf numFmtId="41" fontId="8" fillId="0" borderId="12" xfId="20" applyNumberFormat="1" applyFont="1" applyBorder="1" applyAlignment="1">
      <alignment horizontal="right"/>
    </xf>
    <xf numFmtId="41" fontId="8" fillId="0" borderId="12" xfId="1" applyNumberFormat="1" applyFont="1" applyBorder="1" applyAlignment="1" applyProtection="1">
      <alignment horizontal="right"/>
    </xf>
    <xf numFmtId="41" fontId="8" fillId="0" borderId="12" xfId="1" applyNumberFormat="1" applyFont="1" applyBorder="1" applyAlignment="1" applyProtection="1">
      <alignment horizontal="left"/>
    </xf>
    <xf numFmtId="41" fontId="20" fillId="0" borderId="0" xfId="20" applyNumberFormat="1" applyFont="1"/>
    <xf numFmtId="164" fontId="14" fillId="0" borderId="0" xfId="1" applyNumberFormat="1" applyFont="1" applyBorder="1" applyAlignment="1" applyProtection="1">
      <alignment horizontal="right"/>
    </xf>
    <xf numFmtId="41" fontId="8" fillId="0" borderId="0" xfId="1" applyNumberFormat="1" applyFont="1" applyBorder="1" applyAlignment="1" applyProtection="1">
      <alignment horizontal="right"/>
    </xf>
    <xf numFmtId="0" fontId="8" fillId="0" borderId="0" xfId="20" quotePrefix="1" applyFont="1" applyAlignment="1">
      <alignment horizontal="left"/>
    </xf>
    <xf numFmtId="0" fontId="8" fillId="0" borderId="0" xfId="20" applyFont="1" applyAlignment="1">
      <alignment horizontal="left"/>
    </xf>
    <xf numFmtId="0" fontId="8" fillId="0" borderId="12" xfId="20" applyFont="1" applyBorder="1"/>
    <xf numFmtId="41" fontId="8" fillId="0" borderId="12" xfId="1" applyNumberFormat="1" applyFont="1" applyBorder="1" applyProtection="1"/>
    <xf numFmtId="164" fontId="14" fillId="0" borderId="0" xfId="1" applyNumberFormat="1" applyFont="1" applyAlignment="1" applyProtection="1">
      <alignment horizontal="right"/>
    </xf>
    <xf numFmtId="0" fontId="8" fillId="0" borderId="8" xfId="20" applyFont="1" applyBorder="1"/>
    <xf numFmtId="41" fontId="8" fillId="0" borderId="8" xfId="1" applyNumberFormat="1" applyFont="1" applyBorder="1" applyProtection="1"/>
    <xf numFmtId="41" fontId="8" fillId="0" borderId="0" xfId="1" applyNumberFormat="1" applyFont="1" applyProtection="1"/>
    <xf numFmtId="164" fontId="8" fillId="0" borderId="0" xfId="1" quotePrefix="1" applyNumberFormat="1" applyFont="1" applyAlignment="1" applyProtection="1">
      <alignment horizontal="center"/>
    </xf>
    <xf numFmtId="164" fontId="8" fillId="0" borderId="12" xfId="1" applyNumberFormat="1" applyFont="1" applyBorder="1" applyAlignment="1" applyProtection="1">
      <alignment horizontal="center"/>
    </xf>
    <xf numFmtId="41" fontId="8" fillId="0" borderId="2" xfId="1" applyNumberFormat="1" applyFont="1" applyBorder="1" applyProtection="1"/>
    <xf numFmtId="164" fontId="8" fillId="0" borderId="0" xfId="1" applyNumberFormat="1" applyFont="1" applyFill="1" applyProtection="1"/>
    <xf numFmtId="0" fontId="8" fillId="0" borderId="0" xfId="20" applyFont="1" applyAlignment="1">
      <alignment horizontal="left" vertical="top"/>
    </xf>
    <xf numFmtId="0" fontId="26" fillId="0" borderId="0" xfId="20" applyFont="1"/>
    <xf numFmtId="0" fontId="8" fillId="0" borderId="17" xfId="20" applyFont="1" applyBorder="1"/>
    <xf numFmtId="0" fontId="8" fillId="0" borderId="16" xfId="20" applyFont="1" applyBorder="1"/>
    <xf numFmtId="164" fontId="8" fillId="0" borderId="16" xfId="1" applyNumberFormat="1" applyFont="1" applyBorder="1" applyProtection="1"/>
    <xf numFmtId="164" fontId="8" fillId="0" borderId="18" xfId="1" applyNumberFormat="1" applyFont="1" applyBorder="1" applyProtection="1"/>
    <xf numFmtId="0" fontId="8" fillId="0" borderId="19" xfId="20" applyFont="1" applyBorder="1"/>
    <xf numFmtId="164" fontId="8" fillId="0" borderId="20" xfId="1" applyNumberFormat="1" applyFont="1" applyBorder="1" applyProtection="1"/>
    <xf numFmtId="0" fontId="8" fillId="0" borderId="19" xfId="0" applyFont="1" applyBorder="1"/>
    <xf numFmtId="0" fontId="8" fillId="0" borderId="20" xfId="0" applyFont="1" applyBorder="1"/>
    <xf numFmtId="0" fontId="8" fillId="0" borderId="11" xfId="0" applyFont="1" applyBorder="1"/>
    <xf numFmtId="0" fontId="8" fillId="0" borderId="13" xfId="0" applyFont="1" applyBorder="1"/>
    <xf numFmtId="164" fontId="8" fillId="2" borderId="2" xfId="1" applyNumberFormat="1" applyFont="1" applyFill="1" applyBorder="1" applyProtection="1"/>
    <xf numFmtId="0" fontId="8" fillId="2" borderId="2" xfId="1" applyNumberFormat="1" applyFont="1" applyFill="1" applyBorder="1" applyProtection="1">
      <protection locked="0"/>
    </xf>
    <xf numFmtId="0" fontId="8" fillId="2" borderId="2" xfId="0" applyFont="1" applyFill="1" applyBorder="1" applyProtection="1">
      <protection locked="0"/>
    </xf>
    <xf numFmtId="0" fontId="17" fillId="0" borderId="0" xfId="11" applyFont="1"/>
    <xf numFmtId="41" fontId="8" fillId="0" borderId="2" xfId="1" applyNumberFormat="1" applyFont="1" applyFill="1" applyBorder="1" applyProtection="1"/>
    <xf numFmtId="0" fontId="17" fillId="0" borderId="0" xfId="12" applyFont="1"/>
    <xf numFmtId="0" fontId="8" fillId="2" borderId="2" xfId="0" applyFont="1" applyFill="1" applyBorder="1" applyAlignment="1" applyProtection="1">
      <alignment wrapText="1"/>
      <protection locked="0"/>
    </xf>
    <xf numFmtId="0" fontId="46" fillId="0" borderId="0" xfId="0" applyFont="1"/>
    <xf numFmtId="41" fontId="58" fillId="0" borderId="0" xfId="0" applyNumberFormat="1" applyFont="1"/>
    <xf numFmtId="0" fontId="24" fillId="0" borderId="0" xfId="0" applyFont="1" applyAlignment="1">
      <alignment horizontal="center" wrapText="1"/>
    </xf>
    <xf numFmtId="41" fontId="25" fillId="0" borderId="0" xfId="1" applyNumberFormat="1" applyFont="1" applyFill="1" applyBorder="1" applyProtection="1"/>
    <xf numFmtId="0" fontId="35" fillId="0" borderId="5" xfId="0" applyFont="1" applyBorder="1"/>
    <xf numFmtId="41" fontId="8" fillId="0" borderId="4" xfId="1" applyNumberFormat="1" applyFont="1" applyBorder="1" applyProtection="1"/>
    <xf numFmtId="0" fontId="8" fillId="0" borderId="9" xfId="0" applyFont="1" applyBorder="1" applyAlignment="1">
      <alignment horizontal="left" wrapText="1"/>
    </xf>
    <xf numFmtId="0" fontId="8" fillId="0" borderId="2" xfId="0" applyFont="1" applyBorder="1" applyAlignment="1">
      <alignment horizontal="left" wrapText="1"/>
    </xf>
    <xf numFmtId="0" fontId="8" fillId="0" borderId="2" xfId="0" applyFont="1" applyBorder="1" applyAlignment="1">
      <alignment vertical="top" wrapText="1"/>
    </xf>
    <xf numFmtId="0" fontId="8" fillId="0" borderId="0" xfId="0" applyFont="1" applyAlignment="1">
      <alignment vertical="top" wrapText="1"/>
    </xf>
    <xf numFmtId="0" fontId="8" fillId="0" borderId="5" xfId="20" applyFont="1" applyBorder="1"/>
    <xf numFmtId="0" fontId="34" fillId="0" borderId="2" xfId="0" applyFont="1" applyBorder="1" applyAlignment="1">
      <alignment vertical="center" wrapText="1"/>
    </xf>
    <xf numFmtId="0" fontId="34" fillId="0" borderId="6" xfId="0" applyFont="1" applyBorder="1" applyAlignment="1">
      <alignment vertical="center" wrapText="1"/>
    </xf>
    <xf numFmtId="0" fontId="35" fillId="0" borderId="0" xfId="0" applyFont="1" applyAlignment="1">
      <alignment vertical="top" wrapText="1"/>
    </xf>
    <xf numFmtId="0" fontId="8" fillId="2" borderId="2" xfId="0" applyFont="1" applyFill="1" applyBorder="1" applyAlignment="1" applyProtection="1">
      <alignment vertical="top" wrapText="1"/>
      <protection locked="0"/>
    </xf>
    <xf numFmtId="180" fontId="25" fillId="2" borderId="2" xfId="0" applyNumberFormat="1" applyFont="1" applyFill="1" applyBorder="1" applyProtection="1">
      <protection locked="0"/>
    </xf>
    <xf numFmtId="180" fontId="8" fillId="2" borderId="2" xfId="15" applyNumberFormat="1" applyFont="1" applyFill="1" applyBorder="1" applyAlignment="1" applyProtection="1">
      <alignment horizontal="center"/>
      <protection locked="0"/>
    </xf>
    <xf numFmtId="41" fontId="8" fillId="0" borderId="0" xfId="1" applyNumberFormat="1" applyFont="1" applyFill="1" applyBorder="1" applyProtection="1"/>
    <xf numFmtId="41" fontId="25" fillId="0" borderId="7" xfId="1" applyNumberFormat="1" applyFont="1" applyFill="1" applyBorder="1" applyAlignment="1" applyProtection="1">
      <alignment horizontal="right"/>
    </xf>
    <xf numFmtId="164" fontId="25" fillId="0" borderId="0" xfId="1" applyNumberFormat="1" applyFont="1" applyFill="1" applyBorder="1" applyAlignment="1" applyProtection="1">
      <alignment horizontal="right"/>
    </xf>
    <xf numFmtId="0" fontId="26" fillId="0" borderId="0" xfId="9" applyFont="1"/>
    <xf numFmtId="0" fontId="67" fillId="0" borderId="0" xfId="0" applyFont="1" applyAlignment="1">
      <alignment vertical="top" wrapText="1"/>
    </xf>
    <xf numFmtId="0" fontId="8" fillId="2" borderId="2" xfId="0" applyFont="1" applyFill="1" applyBorder="1" applyAlignment="1" applyProtection="1">
      <alignment horizontal="center" wrapText="1"/>
      <protection locked="0"/>
    </xf>
    <xf numFmtId="0" fontId="28" fillId="0" borderId="0" xfId="0" applyFont="1"/>
    <xf numFmtId="0" fontId="25" fillId="0" borderId="0" xfId="0" applyFont="1" applyAlignment="1">
      <alignment horizontal="center" wrapText="1"/>
    </xf>
    <xf numFmtId="0" fontId="24" fillId="0" borderId="0" xfId="34" applyNumberFormat="1" applyFont="1"/>
    <xf numFmtId="49" fontId="24" fillId="0" borderId="0" xfId="34" applyFont="1"/>
    <xf numFmtId="0" fontId="24" fillId="0" borderId="12" xfId="0" applyFont="1" applyBorder="1" applyAlignment="1">
      <alignment horizontal="center" wrapText="1"/>
    </xf>
    <xf numFmtId="0" fontId="26" fillId="0" borderId="19" xfId="0" applyFont="1" applyBorder="1"/>
    <xf numFmtId="0" fontId="8" fillId="0" borderId="0" xfId="20" applyFont="1" applyAlignment="1">
      <alignment horizontal="left" indent="1"/>
    </xf>
    <xf numFmtId="0" fontId="8" fillId="0" borderId="0" xfId="20" applyFont="1" applyAlignment="1">
      <alignment horizontal="left" wrapText="1" indent="1"/>
    </xf>
    <xf numFmtId="41" fontId="8" fillId="0" borderId="0" xfId="1" applyNumberFormat="1" applyFont="1" applyBorder="1" applyProtection="1"/>
    <xf numFmtId="0" fontId="35" fillId="2" borderId="2" xfId="0" applyFont="1" applyFill="1" applyBorder="1" applyAlignment="1" applyProtection="1">
      <alignment horizontal="center" vertical="center"/>
      <protection locked="0"/>
    </xf>
    <xf numFmtId="0" fontId="35" fillId="0" borderId="2" xfId="0" applyFont="1" applyBorder="1" applyAlignment="1">
      <alignment horizontal="center" vertical="top"/>
    </xf>
    <xf numFmtId="41" fontId="8" fillId="0" borderId="0" xfId="1" applyNumberFormat="1" applyFont="1" applyFill="1" applyBorder="1" applyAlignment="1" applyProtection="1">
      <alignment horizontal="right"/>
    </xf>
    <xf numFmtId="0" fontId="34" fillId="0" borderId="2" xfId="22" applyFont="1" applyBorder="1" applyAlignment="1">
      <alignment vertical="top" wrapText="1"/>
    </xf>
    <xf numFmtId="10" fontId="8" fillId="0" borderId="7" xfId="0" applyNumberFormat="1" applyFont="1" applyBorder="1" applyAlignment="1">
      <alignment horizontal="right"/>
    </xf>
    <xf numFmtId="0" fontId="25" fillId="2" borderId="2" xfId="9" applyFont="1" applyFill="1" applyBorder="1" applyAlignment="1" applyProtection="1">
      <alignment horizontal="center"/>
      <protection locked="0"/>
    </xf>
    <xf numFmtId="3" fontId="25" fillId="0" borderId="0" xfId="1" applyNumberFormat="1" applyFont="1" applyFill="1" applyBorder="1" applyProtection="1"/>
    <xf numFmtId="0" fontId="8" fillId="0" borderId="0" xfId="9" applyFont="1" applyAlignment="1">
      <alignment horizontal="center"/>
    </xf>
    <xf numFmtId="0" fontId="69" fillId="0" borderId="0" xfId="16" applyFont="1" applyAlignment="1">
      <alignment vertical="top" wrapText="1"/>
    </xf>
    <xf numFmtId="0" fontId="35" fillId="2" borderId="2" xfId="22" applyFont="1" applyFill="1" applyBorder="1" applyAlignment="1" applyProtection="1">
      <alignment vertical="top" wrapText="1"/>
      <protection locked="0"/>
    </xf>
    <xf numFmtId="0" fontId="35" fillId="0" borderId="19" xfId="16" applyFont="1" applyBorder="1" applyAlignment="1">
      <alignment vertical="top" wrapText="1"/>
    </xf>
    <xf numFmtId="0" fontId="35" fillId="0" borderId="0" xfId="22" applyFont="1" applyAlignment="1">
      <alignment vertical="top" wrapText="1"/>
    </xf>
    <xf numFmtId="0" fontId="35" fillId="2" borderId="6" xfId="22" applyFont="1" applyFill="1" applyBorder="1" applyAlignment="1" applyProtection="1">
      <alignment vertical="top" wrapText="1"/>
      <protection locked="0"/>
    </xf>
    <xf numFmtId="0" fontId="35" fillId="0" borderId="6" xfId="22" applyFont="1" applyBorder="1" applyAlignment="1">
      <alignment vertical="top" wrapText="1"/>
    </xf>
    <xf numFmtId="0" fontId="35" fillId="0" borderId="15" xfId="22" applyFont="1" applyBorder="1" applyAlignment="1">
      <alignment vertical="top" wrapText="1"/>
    </xf>
    <xf numFmtId="0" fontId="35" fillId="0" borderId="14" xfId="22" applyFont="1" applyBorder="1" applyAlignment="1">
      <alignment vertical="top" wrapText="1"/>
    </xf>
    <xf numFmtId="0" fontId="34" fillId="0" borderId="14" xfId="22" applyFont="1" applyBorder="1" applyAlignment="1">
      <alignment vertical="top" wrapText="1"/>
    </xf>
    <xf numFmtId="0" fontId="35" fillId="0" borderId="12" xfId="22" applyFont="1" applyBorder="1" applyAlignment="1">
      <alignment vertical="top" wrapText="1"/>
    </xf>
    <xf numFmtId="0" fontId="35" fillId="0" borderId="18" xfId="22" applyFont="1" applyBorder="1" applyAlignment="1">
      <alignment vertical="top" wrapText="1"/>
    </xf>
    <xf numFmtId="0" fontId="35" fillId="2" borderId="10" xfId="22" applyFont="1" applyFill="1" applyBorder="1" applyAlignment="1" applyProtection="1">
      <alignment vertical="top" wrapText="1"/>
      <protection locked="0"/>
    </xf>
    <xf numFmtId="0" fontId="34" fillId="0" borderId="10" xfId="22" applyFont="1" applyBorder="1" applyAlignment="1">
      <alignment vertical="top" wrapText="1"/>
    </xf>
    <xf numFmtId="49" fontId="35" fillId="2" borderId="6" xfId="22" applyNumberFormat="1" applyFont="1" applyFill="1" applyBorder="1" applyAlignment="1" applyProtection="1">
      <alignment vertical="top" wrapText="1"/>
      <protection locked="0"/>
    </xf>
    <xf numFmtId="0" fontId="35" fillId="0" borderId="10" xfId="22" applyFont="1" applyBorder="1" applyAlignment="1">
      <alignment vertical="top" wrapText="1"/>
    </xf>
    <xf numFmtId="41" fontId="35" fillId="2" borderId="6" xfId="22" applyNumberFormat="1" applyFont="1" applyFill="1" applyBorder="1" applyAlignment="1" applyProtection="1">
      <alignment vertical="top" wrapText="1"/>
      <protection locked="0"/>
    </xf>
    <xf numFmtId="41" fontId="35" fillId="0" borderId="2" xfId="22" applyNumberFormat="1" applyFont="1" applyBorder="1" applyAlignment="1">
      <alignment vertical="top" wrapText="1"/>
    </xf>
    <xf numFmtId="0" fontId="34" fillId="0" borderId="2" xfId="0" applyFont="1" applyBorder="1" applyAlignment="1">
      <alignment vertical="top" wrapText="1"/>
    </xf>
    <xf numFmtId="0" fontId="35" fillId="0" borderId="2" xfId="0" quotePrefix="1" applyFont="1" applyBorder="1" applyAlignment="1">
      <alignment vertical="top" wrapText="1"/>
    </xf>
    <xf numFmtId="3" fontId="35" fillId="2" borderId="2" xfId="22" applyNumberFormat="1" applyFont="1" applyFill="1" applyBorder="1" applyAlignment="1" applyProtection="1">
      <alignment vertical="top" wrapText="1"/>
      <protection locked="0"/>
    </xf>
    <xf numFmtId="0" fontId="35" fillId="2" borderId="2" xfId="16" applyFont="1" applyFill="1" applyBorder="1" applyAlignment="1" applyProtection="1">
      <alignment horizontal="left" wrapText="1"/>
      <protection locked="0"/>
    </xf>
    <xf numFmtId="0" fontId="34" fillId="0" borderId="2" xfId="16" applyFont="1" applyBorder="1" applyAlignment="1">
      <alignment horizontal="left" vertical="top" wrapText="1"/>
    </xf>
    <xf numFmtId="0" fontId="35" fillId="0" borderId="0" xfId="0" applyFont="1" applyAlignment="1">
      <alignment horizontal="left" vertical="top" wrapText="1"/>
    </xf>
    <xf numFmtId="0" fontId="35" fillId="0" borderId="0" xfId="0" applyFont="1" applyAlignment="1">
      <alignment horizontal="left" vertical="top"/>
    </xf>
    <xf numFmtId="0" fontId="35" fillId="0" borderId="0" xfId="20" applyFont="1" applyAlignment="1">
      <alignment horizontal="left" vertical="top" wrapText="1"/>
    </xf>
    <xf numFmtId="0" fontId="35" fillId="0" borderId="12" xfId="0" applyFont="1" applyBorder="1" applyAlignment="1">
      <alignment horizontal="left" vertical="top"/>
    </xf>
    <xf numFmtId="0" fontId="35" fillId="0" borderId="12" xfId="20" applyFont="1" applyBorder="1" applyAlignment="1">
      <alignment horizontal="left" vertical="top" wrapText="1"/>
    </xf>
    <xf numFmtId="0" fontId="35" fillId="0" borderId="12" xfId="0" applyFont="1" applyBorder="1" applyAlignment="1">
      <alignment horizontal="left" vertical="top" wrapText="1"/>
    </xf>
    <xf numFmtId="166" fontId="34" fillId="0" borderId="0" xfId="0" applyNumberFormat="1" applyFont="1" applyAlignment="1">
      <alignment horizontal="left"/>
    </xf>
    <xf numFmtId="0" fontId="34" fillId="0" borderId="0" xfId="0" applyFont="1" applyAlignment="1">
      <alignment vertical="top" wrapText="1"/>
    </xf>
    <xf numFmtId="0" fontId="67" fillId="0" borderId="0" xfId="0" applyFont="1"/>
    <xf numFmtId="0" fontId="35" fillId="0" borderId="2" xfId="0" applyFont="1" applyBorder="1" applyAlignment="1">
      <alignment horizontal="center" vertical="center"/>
    </xf>
    <xf numFmtId="0" fontId="35" fillId="0" borderId="2" xfId="0" applyFont="1" applyBorder="1" applyAlignment="1">
      <alignment vertical="center" wrapText="1"/>
    </xf>
    <xf numFmtId="0" fontId="35" fillId="0" borderId="0" xfId="0" applyFont="1" applyAlignment="1">
      <alignment horizontal="center" vertical="top"/>
    </xf>
    <xf numFmtId="0" fontId="67" fillId="0" borderId="2" xfId="0" applyFont="1" applyBorder="1" applyAlignment="1">
      <alignment vertical="center" wrapText="1"/>
    </xf>
    <xf numFmtId="0" fontId="35" fillId="0" borderId="0" xfId="0" applyFont="1" applyAlignment="1">
      <alignment wrapText="1"/>
    </xf>
    <xf numFmtId="0" fontId="35" fillId="0" borderId="6" xfId="0" applyFont="1" applyBorder="1" applyAlignment="1">
      <alignment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6" xfId="0" applyFont="1" applyBorder="1" applyAlignment="1">
      <alignment vertical="top" wrapText="1"/>
    </xf>
    <xf numFmtId="0" fontId="35" fillId="0" borderId="14" xfId="0" applyFont="1" applyBorder="1" applyAlignment="1">
      <alignment vertical="top" wrapText="1"/>
    </xf>
    <xf numFmtId="41" fontId="35" fillId="0" borderId="0" xfId="0" applyNumberFormat="1" applyFont="1" applyAlignment="1">
      <alignment wrapText="1"/>
    </xf>
    <xf numFmtId="0" fontId="34" fillId="0" borderId="11" xfId="0" applyFont="1" applyBorder="1" applyAlignment="1">
      <alignment horizontal="left" wrapText="1"/>
    </xf>
    <xf numFmtId="0" fontId="34" fillId="0" borderId="12" xfId="0" applyFont="1" applyBorder="1" applyAlignment="1">
      <alignment horizontal="left" wrapText="1"/>
    </xf>
    <xf numFmtId="0" fontId="34" fillId="0" borderId="13" xfId="0" applyFont="1" applyBorder="1" applyAlignment="1">
      <alignment horizontal="left" wrapText="1"/>
    </xf>
    <xf numFmtId="0" fontId="25" fillId="0" borderId="0" xfId="9" applyFont="1" applyAlignment="1">
      <alignment wrapText="1"/>
    </xf>
    <xf numFmtId="41" fontId="8" fillId="0" borderId="16" xfId="1" applyNumberFormat="1" applyFont="1" applyFill="1" applyBorder="1" applyAlignment="1" applyProtection="1">
      <alignment horizontal="right"/>
    </xf>
    <xf numFmtId="0" fontId="34" fillId="0" borderId="6" xfId="0" applyFont="1" applyBorder="1" applyAlignment="1">
      <alignment vertical="top" wrapText="1"/>
    </xf>
    <xf numFmtId="0" fontId="66" fillId="0" borderId="0" xfId="0" applyFont="1" applyAlignment="1">
      <alignment horizontal="right"/>
    </xf>
    <xf numFmtId="0" fontId="66" fillId="0" borderId="0" xfId="0" applyFont="1"/>
    <xf numFmtId="0" fontId="66" fillId="0" borderId="0" xfId="0" applyFont="1" applyAlignment="1">
      <alignment horizontal="center"/>
    </xf>
    <xf numFmtId="0" fontId="66" fillId="0" borderId="0" xfId="0" applyFont="1" applyAlignment="1">
      <alignment horizontal="left"/>
    </xf>
    <xf numFmtId="0" fontId="66" fillId="0" borderId="0" xfId="0" applyFont="1" applyAlignment="1">
      <alignment wrapText="1"/>
    </xf>
    <xf numFmtId="41" fontId="46" fillId="0" borderId="0" xfId="0" applyNumberFormat="1" applyFont="1" applyAlignment="1">
      <alignment wrapText="1"/>
    </xf>
    <xf numFmtId="0" fontId="55" fillId="0" borderId="0" xfId="9" applyFont="1"/>
    <xf numFmtId="0" fontId="8" fillId="0" borderId="0" xfId="20" applyFont="1" applyAlignment="1">
      <alignment horizontal="left" indent="2"/>
    </xf>
    <xf numFmtId="0" fontId="8" fillId="2" borderId="2" xfId="20" applyFont="1" applyFill="1" applyBorder="1" applyAlignment="1" applyProtection="1">
      <alignment horizontal="left" wrapText="1" indent="2"/>
      <protection locked="0"/>
    </xf>
    <xf numFmtId="0" fontId="8" fillId="2" borderId="2" xfId="20" applyFont="1" applyFill="1" applyBorder="1" applyAlignment="1" applyProtection="1">
      <alignment horizontal="left" wrapText="1" indent="1"/>
      <protection locked="0"/>
    </xf>
    <xf numFmtId="0" fontId="8" fillId="0" borderId="2" xfId="21" applyFont="1" applyBorder="1" applyAlignment="1">
      <alignment horizontal="center" wrapText="1"/>
    </xf>
    <xf numFmtId="38" fontId="8" fillId="2" borderId="2" xfId="21" applyNumberFormat="1" applyFont="1" applyFill="1" applyBorder="1" applyAlignment="1" applyProtection="1">
      <alignment wrapText="1"/>
      <protection locked="0"/>
    </xf>
    <xf numFmtId="41" fontId="8" fillId="2" borderId="2" xfId="21" applyNumberFormat="1" applyFont="1" applyFill="1" applyBorder="1" applyProtection="1">
      <protection locked="0"/>
    </xf>
    <xf numFmtId="0" fontId="27" fillId="0" borderId="0" xfId="0" applyFont="1"/>
    <xf numFmtId="38" fontId="8" fillId="0" borderId="0" xfId="21" applyNumberFormat="1" applyFont="1"/>
    <xf numFmtId="0" fontId="9" fillId="0" borderId="0" xfId="21" applyFont="1"/>
    <xf numFmtId="42" fontId="8" fillId="0" borderId="7" xfId="21" applyNumberFormat="1" applyFont="1" applyBorder="1" applyAlignment="1">
      <alignment horizontal="right"/>
    </xf>
    <xf numFmtId="0" fontId="8" fillId="0" borderId="17" xfId="0" applyFont="1" applyBorder="1"/>
    <xf numFmtId="0" fontId="8" fillId="0" borderId="16" xfId="0" applyFont="1" applyBorder="1"/>
    <xf numFmtId="0" fontId="8" fillId="0" borderId="18" xfId="0" applyFont="1" applyBorder="1"/>
    <xf numFmtId="0" fontId="24" fillId="0" borderId="19" xfId="0" applyFont="1" applyBorder="1"/>
    <xf numFmtId="0" fontId="8" fillId="0" borderId="20" xfId="0" applyFont="1" applyBorder="1" applyAlignment="1">
      <alignment horizontal="center"/>
    </xf>
    <xf numFmtId="164" fontId="8" fillId="0" borderId="20" xfId="1" applyNumberFormat="1" applyFont="1" applyFill="1" applyBorder="1" applyProtection="1"/>
    <xf numFmtId="0" fontId="25" fillId="0" borderId="11" xfId="0" applyFont="1" applyBorder="1"/>
    <xf numFmtId="0" fontId="25" fillId="0" borderId="12" xfId="0" applyFont="1" applyBorder="1"/>
    <xf numFmtId="0" fontId="25" fillId="0" borderId="13" xfId="0" applyFont="1" applyBorder="1"/>
    <xf numFmtId="0" fontId="8" fillId="0" borderId="0" xfId="20" applyFont="1" applyAlignment="1">
      <alignment horizontal="left" wrapText="1"/>
    </xf>
    <xf numFmtId="41" fontId="25" fillId="0" borderId="0" xfId="1" applyNumberFormat="1" applyFont="1" applyAlignment="1" applyProtection="1">
      <alignment horizontal="center"/>
    </xf>
    <xf numFmtId="0" fontId="69" fillId="0" borderId="14" xfId="16" applyFont="1" applyBorder="1" applyAlignment="1">
      <alignment vertical="top" wrapText="1"/>
    </xf>
    <xf numFmtId="0" fontId="35" fillId="0" borderId="2" xfId="16" applyFont="1" applyBorder="1" applyAlignment="1">
      <alignment horizontal="center" wrapText="1"/>
    </xf>
    <xf numFmtId="3" fontId="35" fillId="2" borderId="2" xfId="16" applyNumberFormat="1" applyFont="1" applyFill="1" applyBorder="1" applyAlignment="1" applyProtection="1">
      <alignment vertical="top"/>
      <protection locked="0"/>
    </xf>
    <xf numFmtId="0" fontId="34" fillId="0" borderId="5" xfId="0" applyFont="1" applyBorder="1"/>
    <xf numFmtId="0" fontId="35" fillId="5" borderId="2" xfId="22" applyFont="1" applyFill="1" applyBorder="1" applyAlignment="1" applyProtection="1">
      <alignment vertical="top" wrapText="1"/>
      <protection locked="0"/>
    </xf>
    <xf numFmtId="0" fontId="73" fillId="0" borderId="0" xfId="0" applyFont="1"/>
    <xf numFmtId="0" fontId="25" fillId="2" borderId="14" xfId="0" applyFont="1" applyFill="1" applyBorder="1" applyAlignment="1" applyProtection="1">
      <alignment horizontal="center" vertical="center"/>
      <protection locked="0"/>
    </xf>
    <xf numFmtId="164" fontId="8" fillId="2" borderId="2" xfId="1" applyNumberFormat="1"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35" fillId="0" borderId="2" xfId="16" applyFont="1" applyBorder="1" applyAlignment="1">
      <alignment vertical="top" wrapText="1"/>
    </xf>
    <xf numFmtId="0" fontId="25" fillId="0" borderId="2" xfId="0" applyFont="1" applyBorder="1" applyAlignment="1">
      <alignment vertical="top" wrapText="1"/>
    </xf>
    <xf numFmtId="0" fontId="25" fillId="0" borderId="9" xfId="0" applyFont="1" applyBorder="1" applyAlignment="1">
      <alignment vertical="top" wrapText="1"/>
    </xf>
    <xf numFmtId="0" fontId="35" fillId="2" borderId="2" xfId="16" applyFont="1" applyFill="1" applyBorder="1" applyAlignment="1" applyProtection="1">
      <alignment horizontal="center" vertical="center" wrapText="1"/>
      <protection locked="0"/>
    </xf>
    <xf numFmtId="0" fontId="25" fillId="5" borderId="2" xfId="0" applyFont="1" applyFill="1" applyBorder="1" applyAlignment="1" applyProtection="1">
      <alignment vertical="top" wrapText="1"/>
      <protection locked="0"/>
    </xf>
    <xf numFmtId="0" fontId="25" fillId="0" borderId="9" xfId="0" applyFont="1" applyBorder="1"/>
    <xf numFmtId="0" fontId="25" fillId="2" borderId="6" xfId="0" applyFont="1" applyFill="1" applyBorder="1" applyAlignment="1" applyProtection="1">
      <alignment vertical="top" wrapText="1"/>
      <protection locked="0"/>
    </xf>
    <xf numFmtId="0" fontId="25" fillId="0" borderId="11" xfId="0" applyFont="1" applyBorder="1" applyAlignment="1">
      <alignment vertical="top" wrapText="1"/>
    </xf>
    <xf numFmtId="41" fontId="25" fillId="2" borderId="14" xfId="1" applyNumberFormat="1" applyFont="1" applyFill="1" applyBorder="1" applyAlignment="1" applyProtection="1">
      <alignment horizontal="right"/>
      <protection locked="0"/>
    </xf>
    <xf numFmtId="0" fontId="25" fillId="0" borderId="0" xfId="9" applyFont="1" applyAlignment="1">
      <alignment horizontal="center" wrapText="1"/>
    </xf>
    <xf numFmtId="0" fontId="25" fillId="0" borderId="0" xfId="0" applyFont="1" applyAlignment="1">
      <alignment horizontal="center" vertical="top" wrapText="1"/>
    </xf>
    <xf numFmtId="0" fontId="25" fillId="2" borderId="2" xfId="0" applyFont="1" applyFill="1" applyBorder="1" applyAlignment="1" applyProtection="1">
      <alignment horizontal="center" vertical="center" wrapText="1"/>
      <protection locked="0"/>
    </xf>
    <xf numFmtId="0" fontId="24" fillId="0" borderId="0" xfId="0" applyFont="1" applyAlignment="1">
      <alignment vertical="top" wrapText="1"/>
    </xf>
    <xf numFmtId="0" fontId="25" fillId="0" borderId="0" xfId="0" applyFont="1" applyAlignment="1">
      <alignment vertical="top" wrapText="1"/>
    </xf>
    <xf numFmtId="0" fontId="25" fillId="0" borderId="20" xfId="9" applyFont="1" applyBorder="1" applyAlignment="1">
      <alignment horizontal="center" wrapText="1"/>
    </xf>
    <xf numFmtId="0" fontId="25" fillId="0" borderId="0" xfId="9" applyFont="1" applyAlignment="1">
      <alignment horizontal="justify" wrapText="1"/>
    </xf>
    <xf numFmtId="0" fontId="25" fillId="0" borderId="0" xfId="16" applyFont="1" applyAlignment="1">
      <alignment horizontal="right" vertical="top"/>
    </xf>
    <xf numFmtId="180" fontId="25" fillId="0" borderId="0" xfId="0" applyNumberFormat="1" applyFont="1"/>
    <xf numFmtId="0" fontId="25" fillId="0" borderId="0" xfId="17" applyFont="1"/>
    <xf numFmtId="0" fontId="25" fillId="2" borderId="2" xfId="0" applyFont="1" applyFill="1" applyBorder="1" applyAlignment="1" applyProtection="1">
      <alignment horizontal="center"/>
      <protection locked="0"/>
    </xf>
    <xf numFmtId="0" fontId="74" fillId="0" borderId="0" xfId="0" applyFont="1"/>
    <xf numFmtId="0" fontId="35" fillId="2" borderId="2" xfId="0" applyFont="1" applyFill="1" applyBorder="1" applyAlignment="1" applyProtection="1">
      <alignment horizontal="center" vertical="center" wrapText="1"/>
      <protection locked="0"/>
    </xf>
    <xf numFmtId="0" fontId="35" fillId="0" borderId="2" xfId="0" applyFont="1" applyBorder="1" applyAlignment="1">
      <alignment vertical="top" wrapText="1"/>
    </xf>
    <xf numFmtId="0" fontId="35" fillId="0" borderId="2" xfId="0" applyFont="1" applyBorder="1" applyAlignment="1">
      <alignment horizontal="left" wrapText="1"/>
    </xf>
    <xf numFmtId="0" fontId="67" fillId="0" borderId="0" xfId="38" applyFont="1"/>
    <xf numFmtId="0" fontId="35" fillId="0" borderId="2" xfId="16" applyFont="1" applyBorder="1" applyAlignment="1">
      <alignment horizontal="center" vertical="center" wrapText="1"/>
    </xf>
    <xf numFmtId="0" fontId="35" fillId="0" borderId="2" xfId="38" applyFont="1" applyBorder="1" applyAlignment="1">
      <alignment horizontal="center" vertical="center"/>
    </xf>
    <xf numFmtId="0" fontId="35" fillId="5" borderId="2" xfId="38" applyFont="1" applyFill="1" applyBorder="1" applyAlignment="1" applyProtection="1">
      <alignment wrapText="1"/>
      <protection locked="0"/>
    </xf>
    <xf numFmtId="42" fontId="35" fillId="0" borderId="7" xfId="38" applyNumberFormat="1" applyFont="1" applyBorder="1" applyAlignment="1">
      <alignment vertical="top" wrapText="1"/>
    </xf>
    <xf numFmtId="0" fontId="35" fillId="0" borderId="0" xfId="38" applyFont="1"/>
    <xf numFmtId="0" fontId="75" fillId="0" borderId="2" xfId="38" applyFont="1" applyBorder="1" applyAlignment="1">
      <alignment vertical="top" wrapText="1"/>
    </xf>
    <xf numFmtId="0" fontId="35" fillId="0" borderId="0" xfId="16" applyFont="1" applyAlignment="1">
      <alignment wrapText="1"/>
    </xf>
    <xf numFmtId="0" fontId="35" fillId="0" borderId="0" xfId="16" applyFont="1" applyAlignment="1">
      <alignment vertical="top"/>
    </xf>
    <xf numFmtId="0" fontId="35" fillId="0" borderId="0" xfId="16" applyFont="1" applyAlignment="1">
      <alignment vertical="top" wrapText="1"/>
    </xf>
    <xf numFmtId="0" fontId="35" fillId="0" borderId="6" xfId="38" applyFont="1" applyBorder="1" applyAlignment="1">
      <alignment horizontal="center" vertical="center"/>
    </xf>
    <xf numFmtId="0" fontId="35" fillId="0" borderId="16" xfId="0" applyFont="1" applyBorder="1" applyAlignment="1">
      <alignment wrapText="1"/>
    </xf>
    <xf numFmtId="0" fontId="35" fillId="0" borderId="18" xfId="0" applyFont="1" applyBorder="1"/>
    <xf numFmtId="0" fontId="35" fillId="0" borderId="10" xfId="16" applyFont="1" applyBorder="1" applyAlignment="1">
      <alignment vertical="center" wrapText="1"/>
    </xf>
    <xf numFmtId="0" fontId="34" fillId="0" borderId="0" xfId="0" applyFont="1" applyAlignment="1">
      <alignment wrapText="1"/>
    </xf>
    <xf numFmtId="0" fontId="9" fillId="0" borderId="0" xfId="0" applyFont="1" applyAlignment="1">
      <alignment horizontal="center" wrapText="1"/>
    </xf>
    <xf numFmtId="0" fontId="9" fillId="0" borderId="5" xfId="0" applyFont="1" applyBorder="1" applyAlignment="1">
      <alignment horizontal="center"/>
    </xf>
    <xf numFmtId="37" fontId="25" fillId="0" borderId="0" xfId="10" applyFont="1" applyAlignment="1">
      <alignment horizontal="right"/>
    </xf>
    <xf numFmtId="164" fontId="8" fillId="0" borderId="0" xfId="1" applyNumberFormat="1" applyFont="1" applyBorder="1" applyAlignment="1" applyProtection="1">
      <alignment horizontal="center" vertical="center"/>
    </xf>
    <xf numFmtId="0" fontId="25" fillId="0" borderId="0" xfId="0" applyFont="1" applyAlignment="1">
      <alignment horizontal="left" vertical="top" wrapText="1"/>
    </xf>
    <xf numFmtId="0" fontId="25" fillId="0" borderId="3" xfId="0" applyFont="1" applyBorder="1" applyAlignment="1">
      <alignment vertical="top" wrapText="1"/>
    </xf>
    <xf numFmtId="41" fontId="25" fillId="0" borderId="3" xfId="1" applyNumberFormat="1" applyFont="1" applyFill="1" applyBorder="1" applyAlignment="1" applyProtection="1">
      <alignment horizontal="right"/>
    </xf>
    <xf numFmtId="0" fontId="35" fillId="2" borderId="2" xfId="0" applyFont="1" applyFill="1" applyBorder="1" applyAlignment="1">
      <alignment horizontal="center" vertical="center"/>
    </xf>
    <xf numFmtId="0" fontId="35" fillId="2" borderId="2" xfId="22" applyFont="1" applyFill="1" applyBorder="1" applyAlignment="1">
      <alignment vertical="top" wrapText="1"/>
    </xf>
    <xf numFmtId="41" fontId="25" fillId="2" borderId="2" xfId="1" applyNumberFormat="1" applyFont="1" applyFill="1" applyBorder="1" applyProtection="1"/>
    <xf numFmtId="0" fontId="25" fillId="0" borderId="7" xfId="0" applyFont="1" applyBorder="1"/>
    <xf numFmtId="41" fontId="25" fillId="0" borderId="7" xfId="0" applyNumberFormat="1" applyFont="1" applyBorder="1"/>
    <xf numFmtId="41" fontId="25" fillId="0" borderId="16" xfId="0" applyNumberFormat="1" applyFont="1" applyBorder="1"/>
    <xf numFmtId="14" fontId="25" fillId="0" borderId="0" xfId="0" applyNumberFormat="1" applyFont="1" applyAlignment="1">
      <alignment vertical="top" wrapText="1"/>
    </xf>
    <xf numFmtId="49" fontId="8" fillId="0" borderId="0" xfId="0" applyNumberFormat="1" applyFont="1" applyAlignment="1">
      <alignment horizontal="left"/>
    </xf>
    <xf numFmtId="0" fontId="8" fillId="0" borderId="0" xfId="19" applyFont="1"/>
    <xf numFmtId="49" fontId="8" fillId="0" borderId="0" xfId="19" applyNumberFormat="1" applyFont="1" applyAlignment="1">
      <alignment horizontal="left"/>
    </xf>
    <xf numFmtId="0" fontId="0" fillId="0" borderId="0" xfId="0" applyAlignment="1">
      <alignment wrapText="1"/>
    </xf>
    <xf numFmtId="0" fontId="9" fillId="0" borderId="0" xfId="0" applyFont="1" applyAlignment="1">
      <alignment wrapText="1"/>
    </xf>
    <xf numFmtId="0" fontId="9" fillId="0" borderId="5" xfId="0" applyFont="1" applyBorder="1" applyAlignment="1">
      <alignment horizontal="left" wrapText="1"/>
    </xf>
    <xf numFmtId="0" fontId="9" fillId="2" borderId="2" xfId="0" applyFont="1" applyFill="1" applyBorder="1" applyAlignment="1" applyProtection="1">
      <alignment horizontal="center" vertical="top"/>
      <protection locked="0"/>
    </xf>
    <xf numFmtId="0" fontId="8" fillId="0" borderId="12" xfId="0" applyFont="1" applyBorder="1" applyAlignment="1">
      <alignment horizontal="left" vertical="top" wrapText="1"/>
    </xf>
    <xf numFmtId="0" fontId="79" fillId="0" borderId="0" xfId="0" applyFont="1"/>
    <xf numFmtId="0" fontId="8" fillId="0" borderId="0" xfId="0" applyFont="1" applyAlignment="1">
      <alignment vertical="top"/>
    </xf>
    <xf numFmtId="0" fontId="9" fillId="0" borderId="0" xfId="0" applyFont="1" applyAlignment="1">
      <alignment horizontal="left" vertical="top"/>
    </xf>
    <xf numFmtId="49" fontId="8" fillId="0" borderId="0" xfId="0" applyNumberFormat="1" applyFont="1" applyAlignment="1">
      <alignment horizontal="left" vertical="top"/>
    </xf>
    <xf numFmtId="0" fontId="35" fillId="0" borderId="0" xfId="22" applyFont="1" applyAlignment="1">
      <alignment horizontal="left" vertical="top" wrapText="1"/>
    </xf>
    <xf numFmtId="0" fontId="35" fillId="2" borderId="2" xfId="16" applyFont="1" applyFill="1" applyBorder="1" applyAlignment="1" applyProtection="1">
      <alignment wrapText="1"/>
      <protection locked="0"/>
    </xf>
    <xf numFmtId="0" fontId="35" fillId="0" borderId="9" xfId="16" applyFont="1" applyBorder="1"/>
    <xf numFmtId="0" fontId="35" fillId="0" borderId="14" xfId="16" applyFont="1" applyBorder="1" applyAlignment="1">
      <alignment vertical="top" wrapText="1"/>
    </xf>
    <xf numFmtId="0" fontId="35" fillId="0" borderId="13" xfId="16" applyFont="1" applyBorder="1" applyAlignment="1">
      <alignment vertical="top" wrapText="1"/>
    </xf>
    <xf numFmtId="0" fontId="35" fillId="0" borderId="0" xfId="38" applyFont="1" applyAlignment="1">
      <alignment wrapText="1"/>
    </xf>
    <xf numFmtId="0" fontId="35" fillId="2" borderId="2" xfId="22" applyFont="1" applyFill="1" applyBorder="1" applyAlignment="1" applyProtection="1">
      <alignment horizontal="center" vertical="center" wrapText="1"/>
      <protection locked="0"/>
    </xf>
    <xf numFmtId="0" fontId="35" fillId="0" borderId="2" xfId="22" applyFont="1" applyBorder="1" applyAlignment="1">
      <alignment vertical="top" wrapText="1"/>
    </xf>
    <xf numFmtId="0" fontId="35" fillId="2" borderId="2" xfId="16" applyFont="1" applyFill="1" applyBorder="1" applyAlignment="1" applyProtection="1">
      <alignment horizontal="left" vertical="top" wrapText="1"/>
      <protection locked="0"/>
    </xf>
    <xf numFmtId="0" fontId="35" fillId="0" borderId="10" xfId="39" applyFont="1" applyBorder="1" applyAlignment="1">
      <alignment horizontal="left" wrapText="1"/>
    </xf>
    <xf numFmtId="0" fontId="35" fillId="0" borderId="2" xfId="39" applyFont="1" applyBorder="1" applyAlignment="1">
      <alignment horizontal="left" wrapText="1"/>
    </xf>
    <xf numFmtId="49" fontId="25" fillId="0" borderId="0" xfId="1" applyNumberFormat="1" applyFont="1" applyFill="1" applyBorder="1" applyAlignment="1" applyProtection="1">
      <alignment horizontal="right"/>
    </xf>
    <xf numFmtId="49" fontId="25" fillId="0" borderId="0" xfId="1" applyNumberFormat="1" applyFont="1" applyFill="1" applyBorder="1" applyAlignment="1" applyProtection="1">
      <alignment horizontal="center" wrapText="1"/>
    </xf>
    <xf numFmtId="49" fontId="25" fillId="0" borderId="0" xfId="1" applyNumberFormat="1" applyFont="1" applyFill="1" applyBorder="1" applyAlignment="1" applyProtection="1">
      <alignment horizontal="right" wrapText="1"/>
    </xf>
    <xf numFmtId="0" fontId="35" fillId="0" borderId="0" xfId="14" applyFont="1" applyAlignment="1">
      <alignment horizontal="right"/>
    </xf>
    <xf numFmtId="0" fontId="35" fillId="0" borderId="2" xfId="0" applyFont="1" applyBorder="1" applyAlignment="1">
      <alignment horizontal="center" vertical="center" wrapText="1"/>
    </xf>
    <xf numFmtId="0" fontId="35" fillId="0" borderId="16" xfId="16" applyFont="1" applyBorder="1" applyAlignment="1">
      <alignment vertical="top" wrapText="1"/>
    </xf>
    <xf numFmtId="0" fontId="35" fillId="0" borderId="11" xfId="16" applyFont="1" applyBorder="1" applyAlignment="1">
      <alignment vertical="top" wrapText="1"/>
    </xf>
    <xf numFmtId="0" fontId="35" fillId="0" borderId="10" xfId="0" applyFont="1" applyBorder="1" applyAlignment="1">
      <alignment vertical="top" wrapText="1"/>
    </xf>
    <xf numFmtId="0" fontId="35" fillId="0" borderId="0" xfId="14" applyFont="1" applyAlignment="1">
      <alignment horizontal="center"/>
    </xf>
    <xf numFmtId="41" fontId="35" fillId="0" borderId="0" xfId="14" applyNumberFormat="1" applyFont="1" applyAlignment="1">
      <alignment horizontal="center"/>
    </xf>
    <xf numFmtId="41" fontId="35" fillId="0" borderId="0" xfId="14" applyNumberFormat="1" applyFont="1" applyAlignment="1">
      <alignment horizontal="center" wrapText="1"/>
    </xf>
    <xf numFmtId="0" fontId="35" fillId="0" borderId="0" xfId="14" quotePrefix="1" applyFont="1" applyAlignment="1">
      <alignment horizontal="right"/>
    </xf>
    <xf numFmtId="37" fontId="25" fillId="0" borderId="0" xfId="1" applyNumberFormat="1" applyFont="1" applyFill="1" applyBorder="1" applyProtection="1"/>
    <xf numFmtId="164" fontId="25" fillId="0" borderId="0" xfId="1" applyNumberFormat="1" applyFont="1" applyFill="1" applyBorder="1" applyProtection="1"/>
    <xf numFmtId="0" fontId="35" fillId="0" borderId="16" xfId="22" applyFont="1" applyBorder="1" applyAlignment="1">
      <alignment vertical="top" wrapText="1"/>
    </xf>
    <xf numFmtId="0" fontId="35" fillId="0" borderId="2" xfId="22" applyFont="1" applyBorder="1" applyAlignment="1">
      <alignment horizontal="center" vertical="center" wrapText="1"/>
    </xf>
    <xf numFmtId="49" fontId="25" fillId="0" borderId="0" xfId="1" applyNumberFormat="1" applyFont="1" applyFill="1" applyBorder="1" applyAlignment="1" applyProtection="1"/>
    <xf numFmtId="0" fontId="35" fillId="0" borderId="0" xfId="16" applyFont="1" applyAlignment="1">
      <alignment horizontal="left" vertical="top" wrapText="1"/>
    </xf>
    <xf numFmtId="0" fontId="35" fillId="0" borderId="14" xfId="22" applyFont="1" applyBorder="1" applyAlignment="1">
      <alignment horizontal="center" vertical="center" wrapText="1"/>
    </xf>
    <xf numFmtId="0" fontId="35" fillId="5" borderId="2" xfId="16" applyFont="1" applyFill="1" applyBorder="1" applyAlignment="1" applyProtection="1">
      <alignment vertical="top" wrapText="1"/>
      <protection locked="0"/>
    </xf>
    <xf numFmtId="41" fontId="35" fillId="0" borderId="17" xfId="16" applyNumberFormat="1" applyFont="1" applyBorder="1" applyAlignment="1">
      <alignment wrapText="1"/>
    </xf>
    <xf numFmtId="0" fontId="73" fillId="0" borderId="0" xfId="16" applyFont="1" applyAlignment="1">
      <alignment vertical="top" wrapText="1"/>
    </xf>
    <xf numFmtId="0" fontId="73" fillId="0" borderId="0" xfId="22" applyFont="1" applyAlignment="1">
      <alignment vertical="top" wrapText="1"/>
    </xf>
    <xf numFmtId="0" fontId="82" fillId="0" borderId="0" xfId="0" applyFont="1" applyAlignment="1">
      <alignment horizontal="center"/>
    </xf>
    <xf numFmtId="41" fontId="8" fillId="6" borderId="2" xfId="0" applyNumberFormat="1" applyFont="1" applyFill="1" applyBorder="1"/>
    <xf numFmtId="41" fontId="81" fillId="6" borderId="0" xfId="0" applyNumberFormat="1" applyFont="1" applyFill="1" applyAlignment="1">
      <alignment horizontal="center"/>
    </xf>
    <xf numFmtId="42" fontId="8" fillId="0" borderId="7" xfId="40" applyNumberFormat="1" applyFont="1" applyFill="1" applyBorder="1" applyAlignment="1" applyProtection="1">
      <alignment horizontal="right"/>
    </xf>
    <xf numFmtId="41" fontId="83" fillId="6" borderId="0" xfId="0" applyNumberFormat="1" applyFont="1" applyFill="1" applyAlignment="1">
      <alignment horizontal="center"/>
    </xf>
    <xf numFmtId="0" fontId="75" fillId="2" borderId="2"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protection locked="0"/>
    </xf>
    <xf numFmtId="0" fontId="25" fillId="0" borderId="0" xfId="0" applyFont="1" applyAlignment="1">
      <alignment horizontal="center" vertical="center"/>
    </xf>
    <xf numFmtId="0" fontId="75" fillId="0" borderId="0" xfId="0" applyFont="1"/>
    <xf numFmtId="0" fontId="85" fillId="0" borderId="0" xfId="0" applyFont="1"/>
    <xf numFmtId="0" fontId="86" fillId="0" borderId="0" xfId="0" applyFont="1"/>
    <xf numFmtId="3" fontId="75" fillId="2" borderId="2" xfId="16" applyNumberFormat="1" applyFont="1" applyFill="1" applyBorder="1" applyProtection="1">
      <protection locked="0"/>
    </xf>
    <xf numFmtId="0" fontId="75" fillId="0" borderId="2" xfId="16" applyFont="1" applyBorder="1" applyAlignment="1">
      <alignment vertical="top" wrapText="1"/>
    </xf>
    <xf numFmtId="0" fontId="81" fillId="2" borderId="2" xfId="0" applyFont="1" applyFill="1" applyBorder="1" applyAlignment="1" applyProtection="1">
      <alignment horizontal="center" wrapText="1"/>
      <protection locked="0"/>
    </xf>
    <xf numFmtId="0" fontId="27" fillId="0" borderId="0" xfId="20" applyFont="1"/>
    <xf numFmtId="0" fontId="25" fillId="0" borderId="0" xfId="41"/>
    <xf numFmtId="0" fontId="35" fillId="0" borderId="14" xfId="16" applyFont="1" applyBorder="1" applyAlignment="1">
      <alignment horizontal="center" vertical="center" wrapText="1"/>
    </xf>
    <xf numFmtId="0" fontId="35" fillId="0" borderId="12" xfId="16" applyFont="1" applyBorder="1" applyAlignment="1">
      <alignment vertical="top" wrapText="1"/>
    </xf>
    <xf numFmtId="164" fontId="8" fillId="2" borderId="2" xfId="1" applyNumberFormat="1" applyFont="1" applyFill="1" applyBorder="1" applyAlignment="1" applyProtection="1">
      <alignment horizontal="center" vertical="center" wrapText="1"/>
      <protection locked="0"/>
    </xf>
    <xf numFmtId="0" fontId="8" fillId="0" borderId="13" xfId="0" applyFont="1" applyBorder="1" applyAlignment="1">
      <alignment horizontal="center"/>
    </xf>
    <xf numFmtId="0" fontId="35" fillId="0" borderId="2" xfId="38" applyFont="1" applyBorder="1" applyAlignment="1">
      <alignment horizontal="center" vertical="center" wrapText="1"/>
    </xf>
    <xf numFmtId="41" fontId="35" fillId="0" borderId="2" xfId="16" applyNumberFormat="1" applyFont="1" applyBorder="1" applyAlignment="1">
      <alignment horizontal="center" vertical="center" wrapText="1"/>
    </xf>
    <xf numFmtId="0" fontId="35" fillId="0" borderId="2" xfId="16" applyFont="1" applyBorder="1" applyAlignment="1">
      <alignment vertical="center" wrapText="1"/>
    </xf>
    <xf numFmtId="0" fontId="35" fillId="0" borderId="0" xfId="0" applyFont="1" applyAlignment="1">
      <alignment vertical="center"/>
    </xf>
    <xf numFmtId="0" fontId="35" fillId="0" borderId="18" xfId="22" applyFont="1" applyBorder="1" applyAlignment="1">
      <alignment vertical="center" wrapText="1"/>
    </xf>
    <xf numFmtId="0" fontId="35" fillId="0" borderId="20" xfId="22" applyFont="1" applyBorder="1" applyAlignment="1">
      <alignment vertical="center" wrapText="1"/>
    </xf>
    <xf numFmtId="0" fontId="35" fillId="0" borderId="13" xfId="22" applyFont="1" applyBorder="1" applyAlignment="1">
      <alignment vertical="center" wrapText="1"/>
    </xf>
    <xf numFmtId="0" fontId="35" fillId="0" borderId="3" xfId="0" applyFont="1" applyBorder="1" applyAlignment="1">
      <alignment horizontal="center" vertical="center"/>
    </xf>
    <xf numFmtId="0" fontId="35" fillId="0" borderId="10" xfId="0" applyFont="1" applyBorder="1" applyAlignment="1">
      <alignment horizontal="center" vertical="center"/>
    </xf>
    <xf numFmtId="0" fontId="35" fillId="0" borderId="16" xfId="0" applyFont="1" applyBorder="1" applyAlignment="1">
      <alignment horizontal="center" vertical="center"/>
    </xf>
    <xf numFmtId="0" fontId="35" fillId="0" borderId="18" xfId="0" applyFont="1" applyBorder="1" applyAlignment="1">
      <alignment horizontal="center" vertical="center"/>
    </xf>
    <xf numFmtId="41" fontId="35" fillId="0" borderId="2" xfId="16" applyNumberFormat="1" applyFont="1" applyBorder="1" applyAlignment="1">
      <alignment wrapText="1"/>
    </xf>
    <xf numFmtId="49" fontId="35" fillId="2" borderId="2" xfId="22" applyNumberFormat="1" applyFont="1" applyFill="1" applyBorder="1" applyAlignment="1" applyProtection="1">
      <alignment vertical="top" wrapText="1"/>
      <protection locked="0"/>
    </xf>
    <xf numFmtId="0" fontId="35" fillId="0" borderId="2" xfId="22" applyFont="1" applyBorder="1" applyAlignment="1">
      <alignment horizontal="center" vertical="top" wrapText="1"/>
    </xf>
    <xf numFmtId="0" fontId="25" fillId="0" borderId="3" xfId="0" applyFont="1" applyBorder="1" applyAlignment="1">
      <alignment vertical="center" wrapText="1"/>
    </xf>
    <xf numFmtId="0" fontId="25" fillId="0" borderId="3" xfId="16" applyFont="1" applyBorder="1" applyAlignment="1">
      <alignment vertical="center" wrapText="1"/>
    </xf>
    <xf numFmtId="0" fontId="25" fillId="2" borderId="2" xfId="9" applyFont="1" applyFill="1" applyBorder="1" applyAlignment="1" applyProtection="1">
      <alignment horizontal="center" vertical="center" wrapText="1"/>
      <protection locked="0"/>
    </xf>
    <xf numFmtId="0" fontId="35" fillId="0" borderId="3" xfId="16" applyFont="1" applyBorder="1" applyAlignment="1">
      <alignment horizontal="center" vertical="center" wrapText="1"/>
    </xf>
    <xf numFmtId="0" fontId="25" fillId="0" borderId="0" xfId="38" applyFont="1"/>
    <xf numFmtId="0" fontId="35" fillId="0" borderId="2" xfId="16" applyFont="1" applyBorder="1" applyAlignment="1">
      <alignment horizontal="left" vertical="top" wrapText="1"/>
    </xf>
    <xf numFmtId="0" fontId="35" fillId="0" borderId="0" xfId="16" applyFont="1" applyAlignment="1">
      <alignment horizontal="center" vertical="center" wrapText="1"/>
    </xf>
    <xf numFmtId="0" fontId="35" fillId="2" borderId="2" xfId="16" applyFont="1" applyFill="1" applyBorder="1" applyAlignment="1" applyProtection="1">
      <alignment vertical="top" wrapText="1"/>
      <protection locked="0"/>
    </xf>
    <xf numFmtId="0" fontId="25" fillId="0" borderId="0" xfId="0" applyFont="1" applyAlignment="1">
      <alignment horizontal="right" vertical="center" wrapText="1"/>
    </xf>
    <xf numFmtId="0" fontId="35" fillId="0" borderId="6" xfId="0" applyFont="1" applyBorder="1" applyAlignment="1">
      <alignment wrapText="1"/>
    </xf>
    <xf numFmtId="0" fontId="34" fillId="0" borderId="15" xfId="0" applyFont="1" applyBorder="1"/>
    <xf numFmtId="0" fontId="35" fillId="0" borderId="14" xfId="0" applyFont="1" applyBorder="1"/>
    <xf numFmtId="0" fontId="25" fillId="2" borderId="2" xfId="0" applyFont="1" applyFill="1" applyBorder="1" applyAlignment="1" applyProtection="1">
      <alignment horizontal="left" vertical="center" wrapText="1"/>
      <protection locked="0"/>
    </xf>
    <xf numFmtId="0" fontId="25" fillId="6" borderId="0" xfId="9" applyFont="1" applyFill="1"/>
    <xf numFmtId="0" fontId="25" fillId="5" borderId="2" xfId="0" applyFont="1" applyFill="1" applyBorder="1" applyAlignment="1" applyProtection="1">
      <alignment wrapText="1"/>
      <protection locked="0"/>
    </xf>
    <xf numFmtId="41" fontId="25" fillId="5" borderId="2" xfId="0" applyNumberFormat="1" applyFont="1" applyFill="1" applyBorder="1" applyProtection="1">
      <protection locked="0"/>
    </xf>
    <xf numFmtId="3" fontId="35" fillId="2" borderId="2" xfId="16" applyNumberFormat="1" applyFont="1" applyFill="1" applyBorder="1" applyAlignment="1" applyProtection="1">
      <alignment vertical="top" wrapText="1"/>
      <protection locked="0"/>
    </xf>
    <xf numFmtId="41" fontId="35" fillId="0" borderId="0" xfId="0" applyNumberFormat="1" applyFont="1"/>
    <xf numFmtId="0" fontId="0" fillId="0" borderId="0" xfId="0" applyAlignment="1">
      <alignment horizontal="right"/>
    </xf>
    <xf numFmtId="0" fontId="25" fillId="2" borderId="2" xfId="0" applyFont="1" applyFill="1" applyBorder="1" applyAlignment="1" applyProtection="1">
      <alignment horizontal="left" wrapText="1"/>
      <protection locked="0"/>
    </xf>
    <xf numFmtId="0" fontId="35" fillId="0" borderId="17" xfId="16" applyFont="1" applyBorder="1" applyAlignment="1">
      <alignment vertical="top" wrapText="1"/>
    </xf>
    <xf numFmtId="0" fontId="89" fillId="0" borderId="18" xfId="16" applyFont="1" applyBorder="1" applyAlignment="1">
      <alignment vertical="top" wrapText="1"/>
    </xf>
    <xf numFmtId="0" fontId="89" fillId="0" borderId="13" xfId="16" applyFont="1" applyBorder="1" applyAlignment="1">
      <alignment vertical="top" wrapText="1"/>
    </xf>
    <xf numFmtId="0" fontId="35" fillId="0" borderId="2" xfId="16" applyFont="1" applyBorder="1" applyAlignment="1">
      <alignment horizontal="left" vertical="top" wrapText="1" readingOrder="1"/>
    </xf>
    <xf numFmtId="0" fontId="35" fillId="0" borderId="2" xfId="16" applyFont="1" applyBorder="1" applyAlignment="1">
      <alignment vertical="top" wrapText="1" readingOrder="1"/>
    </xf>
    <xf numFmtId="41" fontId="35" fillId="2" borderId="2" xfId="16" applyNumberFormat="1" applyFont="1" applyFill="1" applyBorder="1" applyProtection="1">
      <protection locked="0"/>
    </xf>
    <xf numFmtId="41" fontId="35" fillId="0" borderId="2" xfId="16" applyNumberFormat="1" applyFont="1" applyBorder="1" applyAlignment="1">
      <alignment horizontal="left" wrapText="1"/>
    </xf>
    <xf numFmtId="0" fontId="24" fillId="0" borderId="12" xfId="0" applyFont="1" applyBorder="1"/>
    <xf numFmtId="0" fontId="25" fillId="0" borderId="0" xfId="10" applyNumberFormat="1" applyFont="1" applyAlignment="1">
      <alignment horizontal="right"/>
    </xf>
    <xf numFmtId="0" fontId="25" fillId="0" borderId="0" xfId="10" applyNumberFormat="1" applyFont="1"/>
    <xf numFmtId="0" fontId="25" fillId="0" borderId="0" xfId="10" quotePrefix="1" applyNumberFormat="1" applyFont="1" applyAlignment="1">
      <alignment horizontal="right"/>
    </xf>
    <xf numFmtId="0" fontId="24" fillId="0" borderId="0" xfId="10" applyNumberFormat="1" applyFont="1"/>
    <xf numFmtId="0" fontId="41" fillId="0" borderId="0" xfId="10" applyNumberFormat="1" applyFont="1" applyAlignment="1">
      <alignment horizontal="right"/>
    </xf>
    <xf numFmtId="0" fontId="41" fillId="0" borderId="0" xfId="10" applyNumberFormat="1" applyFont="1"/>
    <xf numFmtId="0" fontId="25" fillId="0" borderId="0" xfId="1" applyNumberFormat="1" applyFont="1" applyFill="1" applyBorder="1" applyProtection="1"/>
    <xf numFmtId="3" fontId="35" fillId="0" borderId="2" xfId="16" applyNumberFormat="1" applyFont="1" applyBorder="1"/>
    <xf numFmtId="0" fontId="35" fillId="0" borderId="2" xfId="16" applyFont="1" applyBorder="1" applyAlignment="1">
      <alignment wrapText="1"/>
    </xf>
    <xf numFmtId="3" fontId="35" fillId="0" borderId="2" xfId="16" applyNumberFormat="1" applyFont="1" applyBorder="1" applyAlignment="1">
      <alignment wrapText="1"/>
    </xf>
    <xf numFmtId="3" fontId="35" fillId="0" borderId="2" xfId="16" applyNumberFormat="1" applyFont="1" applyBorder="1" applyAlignment="1">
      <alignment horizontal="left"/>
    </xf>
    <xf numFmtId="41" fontId="25" fillId="2" borderId="2" xfId="0" applyNumberFormat="1" applyFont="1" applyFill="1" applyBorder="1" applyProtection="1">
      <protection locked="0"/>
    </xf>
    <xf numFmtId="41" fontId="25" fillId="0" borderId="2" xfId="0" applyNumberFormat="1" applyFont="1" applyBorder="1" applyAlignment="1">
      <alignment wrapText="1"/>
    </xf>
    <xf numFmtId="41" fontId="25" fillId="0" borderId="0" xfId="0" applyNumberFormat="1" applyFont="1" applyAlignment="1">
      <alignment wrapText="1"/>
    </xf>
    <xf numFmtId="0" fontId="35" fillId="2" borderId="2" xfId="0" applyFont="1" applyFill="1" applyBorder="1" applyAlignment="1" applyProtection="1">
      <alignment vertical="top" wrapText="1"/>
      <protection locked="0"/>
    </xf>
    <xf numFmtId="41" fontId="35" fillId="2" borderId="2" xfId="0" applyNumberFormat="1" applyFont="1" applyFill="1" applyBorder="1" applyAlignment="1" applyProtection="1">
      <alignment horizontal="left" vertical="top" wrapText="1"/>
      <protection locked="0"/>
    </xf>
    <xf numFmtId="0" fontId="35" fillId="0" borderId="0" xfId="16" applyFont="1" applyAlignment="1">
      <alignment horizontal="center" wrapText="1"/>
    </xf>
    <xf numFmtId="0" fontId="35" fillId="0" borderId="0" xfId="0" applyFont="1" applyAlignment="1" applyProtection="1">
      <alignment horizontal="center"/>
      <protection locked="0"/>
    </xf>
    <xf numFmtId="0" fontId="35" fillId="0" borderId="0" xfId="0" applyFont="1" applyAlignment="1">
      <alignment horizontal="center"/>
    </xf>
    <xf numFmtId="0" fontId="35" fillId="0" borderId="0" xfId="16" applyFont="1" applyAlignment="1">
      <alignment horizontal="center" vertical="top" wrapText="1"/>
    </xf>
    <xf numFmtId="3" fontId="75" fillId="2" borderId="6" xfId="16" applyNumberFormat="1" applyFont="1" applyFill="1" applyBorder="1" applyProtection="1">
      <protection locked="0"/>
    </xf>
    <xf numFmtId="0" fontId="35" fillId="0" borderId="0" xfId="38" applyFont="1" applyAlignment="1">
      <alignment horizontal="right" vertical="top" wrapText="1"/>
    </xf>
    <xf numFmtId="0" fontId="35" fillId="2" borderId="9" xfId="0" applyFont="1" applyFill="1" applyBorder="1" applyAlignment="1" applyProtection="1">
      <alignment horizontal="center" vertical="center" wrapText="1"/>
      <protection locked="0"/>
    </xf>
    <xf numFmtId="0" fontId="35" fillId="0" borderId="2" xfId="0" applyFont="1" applyBorder="1"/>
    <xf numFmtId="0" fontId="57" fillId="0" borderId="0" xfId="0" applyFont="1" applyAlignment="1">
      <alignment horizontal="left"/>
    </xf>
    <xf numFmtId="0" fontId="25" fillId="2" borderId="2" xfId="10" applyNumberFormat="1" applyFont="1" applyFill="1" applyBorder="1" applyProtection="1">
      <protection locked="0"/>
    </xf>
    <xf numFmtId="0" fontId="25" fillId="2" borderId="2" xfId="10" applyNumberFormat="1" applyFont="1" applyFill="1" applyBorder="1" applyAlignment="1" applyProtection="1">
      <alignment wrapText="1"/>
      <protection locked="0"/>
    </xf>
    <xf numFmtId="0" fontId="91" fillId="0" borderId="0" xfId="67"/>
    <xf numFmtId="0" fontId="35" fillId="0" borderId="2" xfId="38" applyFont="1" applyBorder="1" applyAlignment="1">
      <alignment wrapText="1"/>
    </xf>
    <xf numFmtId="41" fontId="35" fillId="0" borderId="2" xfId="38" applyNumberFormat="1" applyFont="1" applyBorder="1"/>
    <xf numFmtId="0" fontId="35" fillId="0" borderId="2" xfId="38" applyFont="1" applyBorder="1" applyAlignment="1">
      <alignment horizontal="center"/>
    </xf>
    <xf numFmtId="10" fontId="35" fillId="0" borderId="2" xfId="38" applyNumberFormat="1" applyFont="1" applyBorder="1" applyAlignment="1">
      <alignment horizontal="center" wrapText="1"/>
    </xf>
    <xf numFmtId="0" fontId="35" fillId="2" borderId="2" xfId="38" applyFont="1" applyFill="1" applyBorder="1" applyAlignment="1" applyProtection="1">
      <alignment horizontal="left" wrapText="1"/>
      <protection locked="0"/>
    </xf>
    <xf numFmtId="0" fontId="34" fillId="0" borderId="0" xfId="38" applyFont="1"/>
    <xf numFmtId="0" fontId="35" fillId="0" borderId="2" xfId="38" applyFont="1" applyBorder="1"/>
    <xf numFmtId="0" fontId="84" fillId="0" borderId="2" xfId="16" applyFont="1" applyBorder="1" applyAlignment="1">
      <alignment vertical="top" wrapText="1"/>
    </xf>
    <xf numFmtId="0" fontId="75" fillId="0" borderId="6" xfId="16" applyFont="1" applyBorder="1" applyAlignment="1">
      <alignment horizontal="center" vertical="center" wrapText="1"/>
    </xf>
    <xf numFmtId="0" fontId="35" fillId="0" borderId="14" xfId="0" applyFont="1" applyBorder="1" applyAlignment="1">
      <alignment horizontal="center" vertical="center"/>
    </xf>
    <xf numFmtId="0" fontId="35" fillId="0" borderId="15" xfId="0" applyFont="1" applyBorder="1" applyAlignment="1">
      <alignment horizontal="center" vertical="center"/>
    </xf>
    <xf numFmtId="10" fontId="35" fillId="0" borderId="2" xfId="38" applyNumberFormat="1" applyFont="1" applyBorder="1"/>
    <xf numFmtId="41" fontId="8" fillId="2" borderId="2" xfId="1" applyNumberFormat="1" applyFont="1" applyFill="1" applyBorder="1" applyAlignment="1" applyProtection="1">
      <alignment horizontal="center"/>
      <protection locked="0"/>
    </xf>
    <xf numFmtId="41" fontId="8" fillId="5" borderId="2" xfId="13" applyNumberFormat="1" applyFont="1" applyFill="1" applyBorder="1" applyProtection="1">
      <protection locked="0"/>
    </xf>
    <xf numFmtId="0" fontId="25" fillId="0" borderId="0" xfId="10" applyNumberFormat="1" applyFont="1" applyAlignment="1">
      <alignment horizontal="center" wrapText="1"/>
    </xf>
    <xf numFmtId="37" fontId="25" fillId="0" borderId="0" xfId="10" applyFont="1" applyAlignment="1">
      <alignment horizontal="center" wrapText="1"/>
    </xf>
    <xf numFmtId="0" fontId="35" fillId="0" borderId="2" xfId="0" applyFont="1" applyBorder="1" applyAlignment="1">
      <alignment horizontal="center"/>
    </xf>
    <xf numFmtId="0" fontId="35" fillId="0" borderId="2" xfId="0" applyFont="1" applyBorder="1" applyAlignment="1">
      <alignment wrapText="1"/>
    </xf>
    <xf numFmtId="0" fontId="35" fillId="0" borderId="19" xfId="0" applyFont="1" applyBorder="1" applyAlignment="1">
      <alignment wrapText="1"/>
    </xf>
    <xf numFmtId="0" fontId="35" fillId="0" borderId="20" xfId="0" applyFont="1" applyBorder="1" applyAlignment="1">
      <alignment wrapText="1"/>
    </xf>
    <xf numFmtId="0" fontId="35" fillId="0" borderId="11" xfId="0" applyFont="1" applyBorder="1" applyAlignment="1">
      <alignment wrapText="1"/>
    </xf>
    <xf numFmtId="0" fontId="35" fillId="0" borderId="12" xfId="0" applyFont="1" applyBorder="1" applyAlignment="1">
      <alignment wrapText="1"/>
    </xf>
    <xf numFmtId="0" fontId="35" fillId="0" borderId="13" xfId="0" applyFont="1" applyBorder="1" applyAlignment="1">
      <alignment wrapText="1"/>
    </xf>
    <xf numFmtId="0" fontId="75" fillId="2" borderId="14" xfId="0" applyFont="1" applyFill="1" applyBorder="1" applyAlignment="1" applyProtection="1">
      <alignment horizontal="center" vertical="center" wrapText="1"/>
      <protection locked="0"/>
    </xf>
    <xf numFmtId="0" fontId="89" fillId="0" borderId="0" xfId="16" applyFont="1" applyAlignment="1">
      <alignment vertical="top" wrapText="1"/>
    </xf>
    <xf numFmtId="0" fontId="34" fillId="0" borderId="2" xfId="0" applyFont="1" applyBorder="1" applyAlignment="1">
      <alignment horizontal="left" vertical="center" wrapText="1"/>
    </xf>
    <xf numFmtId="0" fontId="8" fillId="0" borderId="2" xfId="0" applyFont="1" applyBorder="1"/>
    <xf numFmtId="0" fontId="35" fillId="5" borderId="2" xfId="0" applyFont="1" applyFill="1" applyBorder="1" applyAlignment="1" applyProtection="1">
      <alignment horizontal="center" vertical="center"/>
      <protection locked="0"/>
    </xf>
    <xf numFmtId="0" fontId="35" fillId="5" borderId="2" xfId="0" applyFont="1" applyFill="1" applyBorder="1" applyAlignment="1" applyProtection="1">
      <alignment horizontal="left" vertical="top" wrapText="1"/>
      <protection locked="0"/>
    </xf>
    <xf numFmtId="10" fontId="8" fillId="0" borderId="7" xfId="0" applyNumberFormat="1" applyFont="1" applyBorder="1"/>
    <xf numFmtId="0" fontId="94" fillId="0" borderId="0" xfId="0" applyFont="1"/>
    <xf numFmtId="0" fontId="95" fillId="0" borderId="0" xfId="13" applyFont="1"/>
    <xf numFmtId="42" fontId="96" fillId="0" borderId="0" xfId="40" applyNumberFormat="1" applyFont="1" applyFill="1" applyBorder="1" applyAlignment="1" applyProtection="1">
      <alignment horizontal="right"/>
    </xf>
    <xf numFmtId="0" fontId="35" fillId="0" borderId="10" xfId="0" applyFont="1" applyBorder="1" applyAlignment="1">
      <alignment wrapText="1"/>
    </xf>
    <xf numFmtId="0" fontId="34" fillId="0" borderId="9" xfId="0" applyFont="1" applyBorder="1"/>
    <xf numFmtId="0" fontId="8" fillId="0" borderId="16" xfId="20" applyFont="1" applyBorder="1" applyAlignment="1">
      <alignment horizontal="left" vertical="top" wrapText="1"/>
    </xf>
    <xf numFmtId="0" fontId="8" fillId="0" borderId="16" xfId="0" applyFont="1" applyBorder="1" applyAlignment="1">
      <alignment horizontal="left" vertical="top" wrapText="1"/>
    </xf>
    <xf numFmtId="0" fontId="9" fillId="0" borderId="0" xfId="20" applyFont="1" applyAlignment="1">
      <alignment vertical="top" wrapText="1"/>
    </xf>
    <xf numFmtId="0" fontId="9" fillId="0" borderId="0" xfId="0" applyFont="1" applyAlignment="1">
      <alignment vertical="top" wrapText="1"/>
    </xf>
    <xf numFmtId="0" fontId="35" fillId="0" borderId="3" xfId="0" applyFont="1" applyBorder="1"/>
    <xf numFmtId="0" fontId="25" fillId="0" borderId="2" xfId="10" applyNumberFormat="1" applyFont="1" applyBorder="1" applyAlignment="1">
      <alignment horizontal="center" wrapText="1"/>
    </xf>
    <xf numFmtId="49" fontId="25" fillId="0" borderId="2" xfId="10" applyNumberFormat="1" applyFont="1" applyBorder="1" applyAlignment="1">
      <alignment horizontal="center"/>
    </xf>
    <xf numFmtId="49" fontId="25" fillId="0" borderId="2" xfId="10" applyNumberFormat="1" applyFont="1" applyBorder="1" applyAlignment="1">
      <alignment horizontal="center" wrapText="1"/>
    </xf>
    <xf numFmtId="0" fontId="25" fillId="0" borderId="13" xfId="0" applyFont="1" applyBorder="1" applyAlignment="1">
      <alignment wrapText="1"/>
    </xf>
    <xf numFmtId="0" fontId="25" fillId="0" borderId="0" xfId="0" applyFont="1" applyAlignment="1">
      <alignment horizontal="right" vertical="center" indent="1"/>
    </xf>
    <xf numFmtId="0" fontId="25" fillId="0" borderId="0" xfId="0" applyFont="1" applyAlignment="1">
      <alignment horizontal="right" vertical="top" indent="1"/>
    </xf>
    <xf numFmtId="41" fontId="46" fillId="0" borderId="7" xfId="0" applyNumberFormat="1" applyFont="1" applyBorder="1"/>
    <xf numFmtId="0" fontId="25" fillId="0" borderId="0" xfId="0" applyFont="1" applyAlignment="1">
      <alignment horizontal="right" vertical="top"/>
    </xf>
    <xf numFmtId="49" fontId="25" fillId="0" borderId="0" xfId="10" applyNumberFormat="1" applyFont="1" applyAlignment="1">
      <alignment vertical="center"/>
    </xf>
    <xf numFmtId="0" fontId="25" fillId="0" borderId="0" xfId="10" applyNumberFormat="1" applyFont="1" applyAlignment="1">
      <alignment horizontal="right" vertical="center"/>
    </xf>
    <xf numFmtId="0" fontId="99" fillId="0" borderId="0" xfId="140" applyFont="1"/>
    <xf numFmtId="0" fontId="98" fillId="0" borderId="0" xfId="140" applyFont="1" applyAlignment="1">
      <alignment horizontal="right"/>
    </xf>
    <xf numFmtId="0" fontId="46" fillId="0" borderId="0" xfId="0" applyFont="1" applyAlignment="1">
      <alignment vertical="center"/>
    </xf>
    <xf numFmtId="37" fontId="25" fillId="0" borderId="0" xfId="10" applyFont="1" applyAlignment="1">
      <alignment vertical="center"/>
    </xf>
    <xf numFmtId="0" fontId="25" fillId="0" borderId="0" xfId="10" applyNumberFormat="1" applyFont="1" applyAlignment="1">
      <alignment vertical="center"/>
    </xf>
    <xf numFmtId="41" fontId="98" fillId="0" borderId="0" xfId="140" applyNumberFormat="1" applyFont="1"/>
    <xf numFmtId="0" fontId="25" fillId="0" borderId="0" xfId="38" applyFont="1" applyAlignment="1">
      <alignment horizontal="left"/>
    </xf>
    <xf numFmtId="0" fontId="97" fillId="0" borderId="0" xfId="141" applyFont="1"/>
    <xf numFmtId="0" fontId="74" fillId="0" borderId="0" xfId="142" applyFont="1"/>
    <xf numFmtId="0" fontId="63" fillId="0" borderId="0" xfId="142" applyFont="1" applyAlignment="1">
      <alignment horizontal="center"/>
    </xf>
    <xf numFmtId="0" fontId="100" fillId="0" borderId="11" xfId="141" applyFont="1" applyBorder="1" applyAlignment="1">
      <alignment horizontal="centerContinuous"/>
    </xf>
    <xf numFmtId="0" fontId="100" fillId="0" borderId="12" xfId="141" applyFont="1" applyBorder="1" applyAlignment="1">
      <alignment horizontal="centerContinuous"/>
    </xf>
    <xf numFmtId="0" fontId="101" fillId="0" borderId="19" xfId="142" applyFont="1" applyBorder="1" applyAlignment="1">
      <alignment horizontal="center"/>
    </xf>
    <xf numFmtId="0" fontId="101" fillId="0" borderId="15" xfId="142" applyFont="1" applyBorder="1" applyAlignment="1">
      <alignment horizontal="center"/>
    </xf>
    <xf numFmtId="0" fontId="101" fillId="0" borderId="0" xfId="142" applyFont="1" applyAlignment="1">
      <alignment horizontal="center"/>
    </xf>
    <xf numFmtId="0" fontId="74" fillId="0" borderId="17" xfId="142" applyFont="1" applyBorder="1"/>
    <xf numFmtId="0" fontId="74" fillId="0" borderId="16" xfId="142" applyFont="1" applyBorder="1"/>
    <xf numFmtId="0" fontId="74" fillId="0" borderId="18" xfId="142" applyFont="1" applyBorder="1"/>
    <xf numFmtId="0" fontId="74" fillId="0" borderId="6" xfId="142" applyFont="1" applyBorder="1"/>
    <xf numFmtId="0" fontId="74" fillId="0" borderId="13" xfId="142" applyFont="1" applyBorder="1"/>
    <xf numFmtId="0" fontId="102" fillId="0" borderId="0" xfId="143" applyFont="1" applyAlignment="1">
      <alignment horizontal="center" wrapText="1"/>
    </xf>
    <xf numFmtId="0" fontId="63" fillId="0" borderId="9" xfId="142" applyFont="1" applyBorder="1" applyAlignment="1">
      <alignment horizontal="left"/>
    </xf>
    <xf numFmtId="0" fontId="63" fillId="0" borderId="3" xfId="142" applyFont="1" applyBorder="1"/>
    <xf numFmtId="0" fontId="63" fillId="0" borderId="3" xfId="38" applyFont="1" applyBorder="1"/>
    <xf numFmtId="0" fontId="63" fillId="0" borderId="10" xfId="38" applyFont="1" applyBorder="1"/>
    <xf numFmtId="0" fontId="63" fillId="0" borderId="2" xfId="142" applyFont="1" applyBorder="1" applyAlignment="1">
      <alignment horizontal="center" wrapText="1"/>
    </xf>
    <xf numFmtId="49" fontId="63" fillId="0" borderId="11" xfId="142" applyNumberFormat="1" applyFont="1" applyBorder="1" applyAlignment="1">
      <alignment horizontal="center" wrapText="1"/>
    </xf>
    <xf numFmtId="49" fontId="63" fillId="0" borderId="14" xfId="142" applyNumberFormat="1" applyFont="1" applyBorder="1" applyAlignment="1">
      <alignment horizontal="center" wrapText="1"/>
    </xf>
    <xf numFmtId="49" fontId="63" fillId="0" borderId="12" xfId="142" applyNumberFormat="1" applyFont="1" applyBorder="1" applyAlignment="1">
      <alignment horizontal="center" wrapText="1"/>
    </xf>
    <xf numFmtId="0" fontId="63" fillId="0" borderId="2" xfId="142" applyFont="1" applyBorder="1" applyAlignment="1">
      <alignment horizontal="center"/>
    </xf>
    <xf numFmtId="0" fontId="63" fillId="0" borderId="14" xfId="142" applyFont="1" applyBorder="1" applyAlignment="1">
      <alignment horizontal="center"/>
    </xf>
    <xf numFmtId="0" fontId="63" fillId="0" borderId="11" xfId="142" applyFont="1" applyBorder="1" applyAlignment="1">
      <alignment horizontal="center"/>
    </xf>
    <xf numFmtId="0" fontId="103" fillId="0" borderId="13" xfId="142" applyFont="1" applyBorder="1" applyAlignment="1">
      <alignment horizontal="center" wrapText="1"/>
    </xf>
    <xf numFmtId="0" fontId="63" fillId="0" borderId="14" xfId="142" applyFont="1" applyBorder="1" applyAlignment="1">
      <alignment horizontal="center" wrapText="1"/>
    </xf>
    <xf numFmtId="0" fontId="63" fillId="0" borderId="2" xfId="90" applyFont="1" applyBorder="1" applyAlignment="1">
      <alignment horizontal="center" wrapText="1"/>
    </xf>
    <xf numFmtId="0" fontId="103" fillId="0" borderId="12" xfId="143" applyFont="1" applyBorder="1" applyAlignment="1">
      <alignment horizontal="center" wrapText="1"/>
    </xf>
    <xf numFmtId="0" fontId="74" fillId="0" borderId="0" xfId="142" applyFont="1" applyAlignment="1">
      <alignment horizontal="left"/>
    </xf>
    <xf numFmtId="37" fontId="74" fillId="0" borderId="0" xfId="142" applyNumberFormat="1" applyFont="1"/>
    <xf numFmtId="0" fontId="74" fillId="2" borderId="14" xfId="142" applyFont="1" applyFill="1" applyBorder="1" applyAlignment="1" applyProtection="1">
      <alignment wrapText="1"/>
      <protection locked="0"/>
    </xf>
    <xf numFmtId="41" fontId="74" fillId="0" borderId="19" xfId="142" applyNumberFormat="1" applyFont="1" applyBorder="1"/>
    <xf numFmtId="41" fontId="74" fillId="2" borderId="2" xfId="142" applyNumberFormat="1" applyFont="1" applyFill="1" applyBorder="1" applyProtection="1">
      <protection locked="0"/>
    </xf>
    <xf numFmtId="41" fontId="74" fillId="0" borderId="0" xfId="145" quotePrefix="1" applyNumberFormat="1" applyFont="1" applyProtection="1"/>
    <xf numFmtId="41" fontId="104" fillId="0" borderId="0" xfId="142" applyNumberFormat="1" applyFont="1"/>
    <xf numFmtId="41" fontId="74" fillId="2" borderId="2" xfId="146" applyNumberFormat="1" applyFont="1" applyFill="1" applyBorder="1" applyProtection="1">
      <protection locked="0"/>
    </xf>
    <xf numFmtId="41" fontId="74" fillId="0" borderId="0" xfId="142" applyNumberFormat="1" applyFont="1"/>
    <xf numFmtId="0" fontId="104" fillId="0" borderId="0" xfId="141" applyFont="1" applyAlignment="1">
      <alignment horizontal="center"/>
    </xf>
    <xf numFmtId="0" fontId="74" fillId="0" borderId="12" xfId="142" applyFont="1" applyBorder="1" applyAlignment="1">
      <alignment wrapText="1"/>
    </xf>
    <xf numFmtId="0" fontId="74" fillId="0" borderId="12" xfId="144" applyNumberFormat="1" applyFont="1" applyFill="1" applyBorder="1" applyAlignment="1" applyProtection="1">
      <alignment horizontal="right"/>
    </xf>
    <xf numFmtId="0" fontId="74" fillId="0" borderId="3" xfId="142" applyFont="1" applyBorder="1"/>
    <xf numFmtId="0" fontId="74" fillId="0" borderId="0" xfId="145" quotePrefix="1" applyNumberFormat="1" applyFont="1" applyFill="1" applyBorder="1" applyProtection="1"/>
    <xf numFmtId="0" fontId="104" fillId="0" borderId="0" xfId="142" applyFont="1"/>
    <xf numFmtId="0" fontId="74" fillId="0" borderId="3" xfId="146" applyFont="1" applyBorder="1"/>
    <xf numFmtId="0" fontId="74" fillId="2" borderId="2" xfId="142" applyFont="1" applyFill="1" applyBorder="1" applyAlignment="1" applyProtection="1">
      <alignment wrapText="1"/>
      <protection locked="0"/>
    </xf>
    <xf numFmtId="41" fontId="74" fillId="2" borderId="2" xfId="142" applyNumberFormat="1" applyFont="1" applyFill="1" applyBorder="1" applyAlignment="1" applyProtection="1">
      <alignment wrapText="1"/>
      <protection locked="0"/>
    </xf>
    <xf numFmtId="41" fontId="74" fillId="0" borderId="0" xfId="145" applyNumberFormat="1" applyFont="1" applyProtection="1"/>
    <xf numFmtId="41" fontId="74" fillId="0" borderId="20" xfId="142" applyNumberFormat="1" applyFont="1" applyBorder="1"/>
    <xf numFmtId="0" fontId="74" fillId="0" borderId="12" xfId="142" applyFont="1" applyBorder="1"/>
    <xf numFmtId="0" fontId="74" fillId="0" borderId="12" xfId="146" applyFont="1" applyBorder="1"/>
    <xf numFmtId="0" fontId="74" fillId="0" borderId="0" xfId="144" applyNumberFormat="1" applyFont="1" applyFill="1" applyBorder="1" applyAlignment="1" applyProtection="1">
      <alignment horizontal="right"/>
    </xf>
    <xf numFmtId="0" fontId="74" fillId="0" borderId="0" xfId="142" applyFont="1" applyAlignment="1">
      <alignment wrapText="1"/>
    </xf>
    <xf numFmtId="49" fontId="74" fillId="0" borderId="0" xfId="142" applyNumberFormat="1" applyFont="1" applyAlignment="1">
      <alignment wrapText="1"/>
    </xf>
    <xf numFmtId="49" fontId="74" fillId="0" borderId="0" xfId="142" applyNumberFormat="1" applyFont="1"/>
    <xf numFmtId="37" fontId="74" fillId="0" borderId="20" xfId="142" applyNumberFormat="1" applyFont="1" applyBorder="1"/>
    <xf numFmtId="41" fontId="105" fillId="0" borderId="0" xfId="142" applyNumberFormat="1" applyFont="1"/>
    <xf numFmtId="37" fontId="63" fillId="0" borderId="0" xfId="142" applyNumberFormat="1" applyFont="1"/>
    <xf numFmtId="0" fontId="100" fillId="0" borderId="0" xfId="141" applyFont="1"/>
    <xf numFmtId="0" fontId="63" fillId="0" borderId="0" xfId="142" applyFont="1"/>
    <xf numFmtId="37" fontId="24" fillId="0" borderId="0" xfId="38" applyNumberFormat="1" applyFont="1"/>
    <xf numFmtId="49" fontId="25" fillId="0" borderId="0" xfId="38" applyNumberFormat="1" applyFont="1"/>
    <xf numFmtId="0" fontId="25" fillId="0" borderId="0" xfId="146" applyFont="1"/>
    <xf numFmtId="0" fontId="74" fillId="0" borderId="16" xfId="142" applyFont="1" applyBorder="1" applyAlignment="1">
      <alignment wrapText="1"/>
    </xf>
    <xf numFmtId="0" fontId="63" fillId="0" borderId="12" xfId="142" applyFont="1" applyBorder="1" applyAlignment="1">
      <alignment horizontal="center" wrapText="1"/>
    </xf>
    <xf numFmtId="0" fontId="25" fillId="0" borderId="12" xfId="0" applyFont="1" applyBorder="1" applyAlignment="1">
      <alignment horizontal="left"/>
    </xf>
    <xf numFmtId="0" fontId="25" fillId="0" borderId="14" xfId="0" applyFont="1" applyBorder="1" applyAlignment="1">
      <alignment horizontal="center"/>
    </xf>
    <xf numFmtId="0" fontId="35" fillId="0" borderId="0" xfId="16" applyFont="1" applyAlignment="1">
      <alignment horizontal="right" vertical="center" wrapText="1"/>
    </xf>
    <xf numFmtId="0" fontId="7" fillId="0" borderId="0" xfId="0" applyFont="1" applyAlignment="1">
      <alignment wrapText="1"/>
    </xf>
    <xf numFmtId="0" fontId="7" fillId="0" borderId="0" xfId="14" applyAlignment="1">
      <alignment horizontal="center" vertical="center" wrapText="1"/>
    </xf>
    <xf numFmtId="0" fontId="7" fillId="0" borderId="0" xfId="14" applyAlignment="1">
      <alignment vertical="center" wrapText="1"/>
    </xf>
    <xf numFmtId="0" fontId="24" fillId="0" borderId="0" xfId="20" applyFont="1" applyAlignment="1">
      <alignment horizontal="left" vertical="top" wrapText="1"/>
    </xf>
    <xf numFmtId="0" fontId="25" fillId="0" borderId="0" xfId="20" applyFont="1"/>
    <xf numFmtId="0" fontId="24" fillId="0" borderId="0" xfId="0" applyFont="1" applyAlignment="1">
      <alignment horizontal="left" vertical="top" wrapText="1"/>
    </xf>
    <xf numFmtId="181" fontId="24" fillId="0" borderId="0" xfId="0" applyNumberFormat="1" applyFont="1" applyAlignment="1">
      <alignment horizontal="left" vertical="top" wrapText="1"/>
    </xf>
    <xf numFmtId="0" fontId="61" fillId="0" borderId="0" xfId="0" applyFont="1" applyAlignment="1">
      <alignment horizontal="left" vertical="top" wrapText="1"/>
    </xf>
    <xf numFmtId="180" fontId="24" fillId="0" borderId="0" xfId="20" applyNumberFormat="1" applyFont="1" applyAlignment="1">
      <alignment horizontal="left" vertical="top" wrapText="1"/>
    </xf>
    <xf numFmtId="0" fontId="25" fillId="0" borderId="0" xfId="20" applyFont="1" applyAlignment="1">
      <alignment horizontal="left" vertical="top" wrapText="1"/>
    </xf>
    <xf numFmtId="0" fontId="25" fillId="0" borderId="12" xfId="0" applyFont="1" applyBorder="1" applyAlignment="1">
      <alignment horizontal="left" vertical="top"/>
    </xf>
    <xf numFmtId="0" fontId="25" fillId="0" borderId="12" xfId="20" applyFont="1" applyBorder="1" applyAlignment="1">
      <alignment horizontal="left" vertical="top" wrapText="1"/>
    </xf>
    <xf numFmtId="0" fontId="25" fillId="0" borderId="12" xfId="0" applyFont="1" applyBorder="1" applyAlignment="1">
      <alignment horizontal="left" vertical="top" wrapText="1"/>
    </xf>
    <xf numFmtId="0" fontId="25" fillId="0" borderId="0" xfId="0" applyFont="1" applyAlignment="1">
      <alignment horizontal="left" vertical="top"/>
    </xf>
    <xf numFmtId="0" fontId="25" fillId="0" borderId="0" xfId="20" applyFont="1" applyAlignment="1">
      <alignment vertical="center"/>
    </xf>
    <xf numFmtId="0" fontId="24" fillId="0" borderId="0" xfId="20" applyFont="1" applyAlignment="1">
      <alignment horizontal="centerContinuous" vertical="center"/>
    </xf>
    <xf numFmtId="164" fontId="24" fillId="0" borderId="0" xfId="1" applyNumberFormat="1" applyFont="1" applyFill="1" applyAlignment="1" applyProtection="1">
      <alignment horizontal="centerContinuous" vertical="center"/>
    </xf>
    <xf numFmtId="166" fontId="25" fillId="0" borderId="0" xfId="0" applyNumberFormat="1" applyFont="1" applyAlignment="1">
      <alignment horizontal="left"/>
    </xf>
    <xf numFmtId="0" fontId="50" fillId="0" borderId="0" xfId="0" applyFont="1" applyAlignment="1">
      <alignment horizontal="center"/>
    </xf>
    <xf numFmtId="0" fontId="25" fillId="0" borderId="12" xfId="0" applyFont="1" applyBorder="1" applyAlignment="1">
      <alignment horizontal="center" wrapText="1"/>
    </xf>
    <xf numFmtId="0" fontId="57" fillId="0" borderId="0" xfId="0" applyFont="1" applyAlignment="1">
      <alignment horizontal="center" wrapText="1"/>
    </xf>
    <xf numFmtId="0" fontId="29" fillId="0" borderId="0" xfId="11" applyFont="1"/>
    <xf numFmtId="41" fontId="25" fillId="0" borderId="2" xfId="1" applyNumberFormat="1" applyFont="1" applyFill="1" applyBorder="1" applyProtection="1"/>
    <xf numFmtId="0" fontId="29" fillId="0" borderId="0" xfId="12" applyFont="1"/>
    <xf numFmtId="0" fontId="25" fillId="6" borderId="0" xfId="0" applyFont="1" applyFill="1"/>
    <xf numFmtId="0" fontId="29" fillId="0" borderId="0" xfId="11" applyFont="1" applyAlignment="1">
      <alignment wrapText="1"/>
    </xf>
    <xf numFmtId="41" fontId="25" fillId="0" borderId="8" xfId="1" applyNumberFormat="1" applyFont="1" applyBorder="1" applyProtection="1"/>
    <xf numFmtId="41" fontId="25" fillId="0" borderId="0" xfId="1" applyNumberFormat="1" applyFont="1" applyBorder="1" applyProtection="1"/>
    <xf numFmtId="166" fontId="24" fillId="0" borderId="0" xfId="14" applyNumberFormat="1" applyFont="1" applyAlignment="1">
      <alignment horizontal="left" vertical="top"/>
    </xf>
    <xf numFmtId="0" fontId="24" fillId="0" borderId="0" xfId="14" applyFont="1"/>
    <xf numFmtId="0" fontId="25" fillId="0" borderId="0" xfId="14" applyFont="1" applyAlignment="1">
      <alignment horizontal="center" wrapText="1"/>
    </xf>
    <xf numFmtId="164" fontId="25" fillId="0" borderId="0" xfId="1" applyNumberFormat="1" applyFont="1" applyBorder="1" applyProtection="1"/>
    <xf numFmtId="164" fontId="25" fillId="0" borderId="0" xfId="1" applyNumberFormat="1" applyFont="1" applyProtection="1"/>
    <xf numFmtId="3" fontId="25" fillId="0" borderId="0" xfId="1" applyNumberFormat="1" applyFont="1" applyBorder="1" applyProtection="1"/>
    <xf numFmtId="0" fontId="24" fillId="0" borderId="16" xfId="0" applyFont="1" applyBorder="1"/>
    <xf numFmtId="0" fontId="25" fillId="0" borderId="16" xfId="0" applyFont="1" applyBorder="1"/>
    <xf numFmtId="41" fontId="25" fillId="0" borderId="12" xfId="0" applyNumberFormat="1" applyFont="1" applyBorder="1" applyAlignment="1">
      <alignment horizontal="center"/>
    </xf>
    <xf numFmtId="0" fontId="25" fillId="0" borderId="12" xfId="0" applyFont="1" applyBorder="1" applyAlignment="1">
      <alignment horizontal="center"/>
    </xf>
    <xf numFmtId="0" fontId="25" fillId="0" borderId="0" xfId="0" quotePrefix="1" applyFont="1" applyAlignment="1">
      <alignment horizontal="right"/>
    </xf>
    <xf numFmtId="2" fontId="25" fillId="2" borderId="2" xfId="0" applyNumberFormat="1" applyFont="1" applyFill="1" applyBorder="1" applyProtection="1">
      <protection locked="0"/>
    </xf>
    <xf numFmtId="41" fontId="25" fillId="2" borderId="6" xfId="1" applyNumberFormat="1" applyFont="1" applyFill="1" applyBorder="1" applyProtection="1">
      <protection locked="0"/>
    </xf>
    <xf numFmtId="41" fontId="25" fillId="0" borderId="6" xfId="1" applyNumberFormat="1" applyFont="1" applyFill="1" applyBorder="1" applyProtection="1"/>
    <xf numFmtId="41" fontId="25" fillId="2" borderId="4" xfId="1" applyNumberFormat="1" applyFont="1" applyFill="1" applyBorder="1" applyProtection="1">
      <protection locked="0"/>
    </xf>
    <xf numFmtId="41" fontId="25" fillId="0" borderId="4" xfId="1" applyNumberFormat="1" applyFont="1" applyFill="1" applyBorder="1" applyProtection="1"/>
    <xf numFmtId="41" fontId="25" fillId="0" borderId="4" xfId="0" applyNumberFormat="1" applyFont="1" applyBorder="1"/>
    <xf numFmtId="41" fontId="25" fillId="0" borderId="8" xfId="0" applyNumberFormat="1" applyFont="1" applyBorder="1"/>
    <xf numFmtId="41" fontId="57" fillId="0" borderId="0" xfId="0" applyNumberFormat="1" applyFont="1" applyAlignment="1">
      <alignment horizontal="center"/>
    </xf>
    <xf numFmtId="41" fontId="25" fillId="0" borderId="2" xfId="1" applyNumberFormat="1" applyFont="1" applyBorder="1" applyProtection="1"/>
    <xf numFmtId="41" fontId="25" fillId="2" borderId="4" xfId="1" applyNumberFormat="1" applyFont="1" applyFill="1" applyBorder="1" applyAlignment="1" applyProtection="1">
      <alignment horizontal="right"/>
      <protection locked="0"/>
    </xf>
    <xf numFmtId="41" fontId="25" fillId="0" borderId="4" xfId="1" applyNumberFormat="1" applyFont="1" applyBorder="1" applyProtection="1"/>
    <xf numFmtId="41" fontId="25" fillId="0" borderId="8" xfId="1" applyNumberFormat="1" applyFont="1" applyBorder="1" applyAlignment="1" applyProtection="1">
      <alignment horizontal="right"/>
    </xf>
    <xf numFmtId="0" fontId="50" fillId="0" borderId="12" xfId="0" applyFont="1" applyBorder="1" applyAlignment="1">
      <alignment horizontal="center"/>
    </xf>
    <xf numFmtId="41" fontId="25" fillId="2" borderId="2" xfId="0" applyNumberFormat="1" applyFont="1" applyFill="1" applyBorder="1" applyAlignment="1" applyProtection="1">
      <alignment horizontal="right"/>
      <protection locked="0"/>
    </xf>
    <xf numFmtId="41" fontId="25" fillId="0" borderId="0" xfId="0" applyNumberFormat="1" applyFont="1" applyAlignment="1">
      <alignment horizontal="right"/>
    </xf>
    <xf numFmtId="41" fontId="25" fillId="0" borderId="8" xfId="0" applyNumberFormat="1" applyFont="1" applyBorder="1" applyAlignment="1">
      <alignment horizontal="right"/>
    </xf>
    <xf numFmtId="41" fontId="57" fillId="0" borderId="0" xfId="1" applyNumberFormat="1" applyFont="1" applyBorder="1" applyAlignment="1" applyProtection="1">
      <alignment horizontal="right"/>
    </xf>
    <xf numFmtId="164" fontId="25" fillId="0" borderId="0" xfId="1" applyNumberFormat="1" applyFont="1" applyBorder="1" applyAlignment="1" applyProtection="1">
      <alignment horizontal="right"/>
    </xf>
    <xf numFmtId="0" fontId="108" fillId="0" borderId="0" xfId="0" applyFont="1"/>
    <xf numFmtId="168" fontId="41" fillId="0" borderId="0" xfId="0" applyNumberFormat="1" applyFont="1" applyAlignment="1">
      <alignment horizontal="left"/>
    </xf>
    <xf numFmtId="0" fontId="41" fillId="0" borderId="0" xfId="0" applyFont="1" applyAlignment="1">
      <alignment horizontal="left"/>
    </xf>
    <xf numFmtId="0" fontId="109" fillId="0" borderId="0" xfId="0" applyFont="1" applyAlignment="1">
      <alignment wrapText="1"/>
    </xf>
    <xf numFmtId="0" fontId="41" fillId="0" borderId="0" xfId="9" applyFont="1"/>
    <xf numFmtId="49" fontId="25" fillId="2" borderId="2" xfId="10" applyNumberFormat="1" applyFont="1" applyFill="1" applyBorder="1" applyAlignment="1" applyProtection="1">
      <alignment wrapText="1"/>
      <protection locked="0"/>
    </xf>
    <xf numFmtId="0" fontId="25" fillId="0" borderId="1" xfId="10" quotePrefix="1" applyNumberFormat="1" applyFont="1" applyBorder="1"/>
    <xf numFmtId="0" fontId="112" fillId="0" borderId="0" xfId="0" applyFont="1"/>
    <xf numFmtId="0" fontId="41" fillId="0" borderId="0" xfId="0" applyFont="1" applyAlignment="1">
      <alignment horizontal="right" wrapText="1"/>
    </xf>
    <xf numFmtId="0" fontId="35" fillId="0" borderId="2" xfId="0" applyFont="1" applyBorder="1" applyAlignment="1">
      <alignment horizontal="left" vertical="center" wrapText="1"/>
    </xf>
    <xf numFmtId="0" fontId="35" fillId="0" borderId="2" xfId="16" applyFont="1" applyBorder="1" applyAlignment="1">
      <alignment horizontal="center" vertical="top" wrapText="1"/>
    </xf>
    <xf numFmtId="41" fontId="75" fillId="2" borderId="2" xfId="16" applyNumberFormat="1" applyFont="1" applyFill="1" applyBorder="1" applyProtection="1">
      <protection locked="0"/>
    </xf>
    <xf numFmtId="41" fontId="35" fillId="5" borderId="2" xfId="16" applyNumberFormat="1" applyFont="1" applyFill="1" applyBorder="1" applyAlignment="1" applyProtection="1">
      <alignment horizontal="center" vertical="top" wrapText="1"/>
      <protection locked="0"/>
    </xf>
    <xf numFmtId="0" fontId="25" fillId="0" borderId="2" xfId="0" applyFont="1" applyBorder="1" applyAlignment="1">
      <alignment horizontal="center" vertical="center"/>
    </xf>
    <xf numFmtId="41" fontId="35" fillId="2" borderId="2" xfId="16" applyNumberFormat="1" applyFont="1" applyFill="1" applyBorder="1" applyAlignment="1" applyProtection="1">
      <alignment vertical="top"/>
      <protection locked="0"/>
    </xf>
    <xf numFmtId="41" fontId="75" fillId="2" borderId="6" xfId="16" applyNumberFormat="1" applyFont="1" applyFill="1" applyBorder="1" applyProtection="1">
      <protection locked="0"/>
    </xf>
    <xf numFmtId="41" fontId="35" fillId="5" borderId="2" xfId="1" applyNumberFormat="1" applyFont="1" applyFill="1" applyBorder="1" applyAlignment="1" applyProtection="1">
      <alignment horizontal="center" vertical="center"/>
      <protection locked="0"/>
    </xf>
    <xf numFmtId="0" fontId="35" fillId="6" borderId="0" xfId="0" applyFont="1" applyFill="1" applyAlignment="1">
      <alignment horizontal="left" vertical="top" wrapText="1"/>
    </xf>
    <xf numFmtId="0" fontId="35" fillId="6" borderId="0" xfId="0" applyFont="1" applyFill="1" applyAlignment="1">
      <alignment wrapText="1"/>
    </xf>
    <xf numFmtId="0" fontId="35" fillId="5" borderId="2" xfId="0" applyFont="1" applyFill="1" applyBorder="1" applyAlignment="1" applyProtection="1">
      <alignment vertical="top" wrapText="1"/>
      <protection locked="0"/>
    </xf>
    <xf numFmtId="41" fontId="112" fillId="2" borderId="2" xfId="0" applyNumberFormat="1" applyFont="1" applyFill="1" applyBorder="1" applyProtection="1">
      <protection locked="0"/>
    </xf>
    <xf numFmtId="41" fontId="112" fillId="0" borderId="0" xfId="0" applyNumberFormat="1" applyFont="1"/>
    <xf numFmtId="10" fontId="112" fillId="0" borderId="0" xfId="0" applyNumberFormat="1" applyFont="1" applyAlignment="1">
      <alignment horizontal="right"/>
    </xf>
    <xf numFmtId="0" fontId="114" fillId="0" borderId="0" xfId="0" applyFont="1"/>
    <xf numFmtId="0" fontId="114" fillId="0" borderId="0" xfId="0" applyFont="1" applyAlignment="1">
      <alignment horizontal="center"/>
    </xf>
    <xf numFmtId="0" fontId="115" fillId="0" borderId="0" xfId="0" applyFont="1"/>
    <xf numFmtId="0" fontId="116" fillId="0" borderId="0" xfId="0" applyFont="1"/>
    <xf numFmtId="0" fontId="116" fillId="0" borderId="0" xfId="0" applyFont="1" applyAlignment="1">
      <alignment wrapText="1"/>
    </xf>
    <xf numFmtId="0" fontId="117" fillId="0" borderId="0" xfId="0" applyFont="1" applyAlignment="1">
      <alignment horizontal="left" wrapText="1"/>
    </xf>
    <xf numFmtId="41" fontId="116" fillId="0" borderId="0" xfId="0" applyNumberFormat="1" applyFont="1"/>
    <xf numFmtId="0" fontId="117" fillId="0" borderId="0" xfId="0" applyFont="1" applyAlignment="1">
      <alignment horizontal="left"/>
    </xf>
    <xf numFmtId="0" fontId="117" fillId="0" borderId="0" xfId="0" applyFont="1"/>
    <xf numFmtId="0" fontId="116" fillId="0" borderId="0" xfId="0" applyFont="1" applyAlignment="1">
      <alignment horizontal="left" wrapText="1"/>
    </xf>
    <xf numFmtId="0" fontId="116" fillId="0" borderId="0" xfId="0" applyFont="1" applyAlignment="1">
      <alignment horizontal="right"/>
    </xf>
    <xf numFmtId="0" fontId="118" fillId="0" borderId="0" xfId="0" applyFont="1"/>
    <xf numFmtId="0" fontId="116" fillId="0" borderId="12" xfId="0" applyFont="1" applyBorder="1"/>
    <xf numFmtId="0" fontId="118" fillId="0" borderId="12" xfId="0" applyFont="1" applyBorder="1" applyAlignment="1">
      <alignment horizontal="left"/>
    </xf>
    <xf numFmtId="41" fontId="119" fillId="0" borderId="0" xfId="0" applyNumberFormat="1" applyFont="1"/>
    <xf numFmtId="0" fontId="119" fillId="0" borderId="0" xfId="0" applyFont="1"/>
    <xf numFmtId="0" fontId="120" fillId="0" borderId="0" xfId="0" applyFont="1"/>
    <xf numFmtId="41" fontId="117" fillId="0" borderId="0" xfId="0" applyNumberFormat="1" applyFont="1" applyAlignment="1">
      <alignment horizontal="center"/>
    </xf>
    <xf numFmtId="41" fontId="121" fillId="0" borderId="0" xfId="0" applyNumberFormat="1" applyFont="1" applyAlignment="1">
      <alignment horizontal="center" wrapText="1"/>
    </xf>
    <xf numFmtId="41" fontId="122" fillId="0" borderId="0" xfId="0" applyNumberFormat="1" applyFont="1" applyAlignment="1">
      <alignment horizontal="center" wrapText="1"/>
    </xf>
    <xf numFmtId="41" fontId="116" fillId="2" borderId="2" xfId="0" applyNumberFormat="1" applyFont="1" applyFill="1" applyBorder="1"/>
    <xf numFmtId="41" fontId="116" fillId="5" borderId="2" xfId="0" applyNumberFormat="1" applyFont="1" applyFill="1" applyBorder="1"/>
    <xf numFmtId="41" fontId="116" fillId="0" borderId="3" xfId="0" applyNumberFormat="1" applyFont="1" applyBorder="1"/>
    <xf numFmtId="0" fontId="118" fillId="0" borderId="0" xfId="0" applyFont="1" applyAlignment="1">
      <alignment vertical="top"/>
    </xf>
    <xf numFmtId="41" fontId="116" fillId="2" borderId="2" xfId="0" applyNumberFormat="1" applyFont="1" applyFill="1" applyBorder="1" applyProtection="1">
      <protection locked="0"/>
    </xf>
    <xf numFmtId="0" fontId="116" fillId="0" borderId="0" xfId="0" applyFont="1" applyAlignment="1">
      <alignment horizontal="left"/>
    </xf>
    <xf numFmtId="0" fontId="116" fillId="0" borderId="0" xfId="0" applyFont="1" applyAlignment="1">
      <alignment vertical="top"/>
    </xf>
    <xf numFmtId="0" fontId="123" fillId="0" borderId="0" xfId="11" applyFont="1"/>
    <xf numFmtId="0" fontId="123" fillId="0" borderId="0" xfId="12" applyFont="1"/>
    <xf numFmtId="41" fontId="116" fillId="0" borderId="7" xfId="0" applyNumberFormat="1" applyFont="1" applyBorder="1"/>
    <xf numFmtId="41" fontId="116" fillId="0" borderId="12" xfId="0" applyNumberFormat="1" applyFont="1" applyBorder="1"/>
    <xf numFmtId="41" fontId="116" fillId="0" borderId="8" xfId="0" applyNumberFormat="1" applyFont="1" applyBorder="1"/>
    <xf numFmtId="0" fontId="117" fillId="0" borderId="0" xfId="0" applyFont="1" applyAlignment="1">
      <alignment horizontal="center"/>
    </xf>
    <xf numFmtId="41" fontId="116" fillId="0" borderId="2" xfId="0" applyNumberFormat="1" applyFont="1" applyBorder="1"/>
    <xf numFmtId="0" fontId="35" fillId="0" borderId="10" xfId="0" applyFont="1" applyBorder="1"/>
    <xf numFmtId="0" fontId="35" fillId="0" borderId="12" xfId="0" applyFont="1" applyBorder="1" applyAlignment="1">
      <alignment horizontal="center"/>
    </xf>
    <xf numFmtId="0" fontId="126" fillId="0" borderId="0" xfId="0" applyFont="1"/>
    <xf numFmtId="0" fontId="81" fillId="0" borderId="2" xfId="0" applyFont="1" applyBorder="1" applyAlignment="1">
      <alignment horizontal="center" vertical="center" wrapText="1"/>
    </xf>
    <xf numFmtId="0" fontId="25" fillId="0" borderId="0" xfId="0" applyFont="1" applyAlignment="1">
      <alignment horizontal="right" wrapText="1"/>
    </xf>
    <xf numFmtId="0" fontId="9" fillId="6" borderId="19" xfId="0" applyFont="1" applyFill="1" applyBorder="1" applyAlignment="1">
      <alignment vertical="top" wrapText="1"/>
    </xf>
    <xf numFmtId="181" fontId="9" fillId="6" borderId="19" xfId="0" applyNumberFormat="1" applyFont="1" applyFill="1" applyBorder="1" applyAlignment="1">
      <alignment vertical="top" wrapText="1"/>
    </xf>
    <xf numFmtId="0" fontId="60" fillId="6" borderId="19" xfId="0" applyFont="1" applyFill="1" applyBorder="1" applyAlignment="1">
      <alignment vertical="top" wrapText="1"/>
    </xf>
    <xf numFmtId="180" fontId="9" fillId="6" borderId="19" xfId="0" applyNumberFormat="1" applyFont="1" applyFill="1" applyBorder="1" applyAlignment="1">
      <alignment vertical="top" wrapText="1"/>
    </xf>
    <xf numFmtId="41" fontId="35" fillId="6" borderId="0" xfId="16" applyNumberFormat="1" applyFont="1" applyFill="1" applyAlignment="1">
      <alignment horizontal="center" vertical="top" wrapText="1"/>
    </xf>
    <xf numFmtId="41" fontId="35" fillId="6" borderId="0" xfId="16" applyNumberFormat="1" applyFont="1" applyFill="1" applyAlignment="1">
      <alignment horizontal="right" vertical="top" wrapText="1"/>
    </xf>
    <xf numFmtId="41" fontId="35" fillId="6" borderId="12" xfId="16" applyNumberFormat="1" applyFont="1" applyFill="1" applyBorder="1" applyAlignment="1">
      <alignment horizontal="center" vertical="top" wrapText="1"/>
    </xf>
    <xf numFmtId="41" fontId="8" fillId="5" borderId="2" xfId="0" applyNumberFormat="1" applyFont="1" applyFill="1" applyBorder="1" applyProtection="1">
      <protection locked="0"/>
    </xf>
    <xf numFmtId="43" fontId="8" fillId="0" borderId="0" xfId="1" applyFont="1" applyProtection="1"/>
    <xf numFmtId="0" fontId="116" fillId="0" borderId="0" xfId="0" applyFont="1" applyAlignment="1">
      <alignment vertical="top" wrapText="1"/>
    </xf>
    <xf numFmtId="0" fontId="116" fillId="6" borderId="0" xfId="0" applyFont="1" applyFill="1" applyAlignment="1">
      <alignment vertical="top" wrapText="1"/>
    </xf>
    <xf numFmtId="0" fontId="129" fillId="0" borderId="0" xfId="0" applyFont="1"/>
    <xf numFmtId="0" fontId="113" fillId="0" borderId="0" xfId="0" applyFont="1" applyAlignment="1">
      <alignment horizontal="right"/>
    </xf>
    <xf numFmtId="41" fontId="129" fillId="0" borderId="0" xfId="0" applyNumberFormat="1" applyFont="1"/>
    <xf numFmtId="0" fontId="129" fillId="0" borderId="0" xfId="0" applyFont="1" applyAlignment="1">
      <alignment horizontal="right"/>
    </xf>
    <xf numFmtId="0" fontId="35" fillId="2" borderId="2" xfId="0" applyFont="1" applyFill="1" applyBorder="1" applyAlignment="1" applyProtection="1">
      <alignment horizontal="center" vertical="top" wrapText="1"/>
      <protection locked="0"/>
    </xf>
    <xf numFmtId="0" fontId="25" fillId="2" borderId="2" xfId="0" applyFont="1" applyFill="1" applyBorder="1" applyAlignment="1" applyProtection="1">
      <alignment horizontal="center" wrapText="1"/>
      <protection locked="0"/>
    </xf>
    <xf numFmtId="164" fontId="9" fillId="0" borderId="0" xfId="1" applyNumberFormat="1" applyFont="1" applyBorder="1" applyAlignment="1" applyProtection="1">
      <alignment horizontal="right"/>
    </xf>
    <xf numFmtId="0" fontId="8" fillId="0" borderId="0" xfId="42"/>
    <xf numFmtId="164" fontId="8" fillId="0" borderId="0" xfId="1" applyNumberFormat="1" applyFont="1" applyAlignment="1" applyProtection="1">
      <alignment horizontal="right"/>
    </xf>
    <xf numFmtId="164" fontId="8" fillId="0" borderId="0" xfId="1" applyNumberFormat="1" applyFont="1" applyFill="1" applyBorder="1" applyAlignment="1" applyProtection="1">
      <alignment horizontal="center"/>
    </xf>
    <xf numFmtId="41" fontId="8" fillId="0" borderId="0" xfId="42" applyNumberFormat="1"/>
    <xf numFmtId="164" fontId="9" fillId="0" borderId="0" xfId="1" applyNumberFormat="1" applyFont="1" applyAlignment="1" applyProtection="1">
      <alignment horizontal="right"/>
    </xf>
    <xf numFmtId="164" fontId="8" fillId="0" borderId="0" xfId="1" applyNumberFormat="1" applyFont="1" applyAlignment="1" applyProtection="1">
      <alignment horizontal="center" wrapText="1"/>
    </xf>
    <xf numFmtId="0" fontId="14" fillId="0" borderId="0" xfId="42" applyFont="1"/>
    <xf numFmtId="164" fontId="8" fillId="0" borderId="0" xfId="1" applyNumberFormat="1" applyFont="1" applyFill="1" applyAlignment="1" applyProtection="1">
      <alignment horizontal="right"/>
    </xf>
    <xf numFmtId="0" fontId="131" fillId="0" borderId="0" xfId="14" applyFont="1"/>
    <xf numFmtId="0" fontId="9" fillId="0" borderId="0" xfId="42" applyFont="1"/>
    <xf numFmtId="0" fontId="74" fillId="2" borderId="2" xfId="0" applyFont="1" applyFill="1" applyBorder="1" applyAlignment="1" applyProtection="1">
      <alignment horizontal="center" vertical="center"/>
      <protection locked="0"/>
    </xf>
    <xf numFmtId="41" fontId="20" fillId="0" borderId="0" xfId="1" applyNumberFormat="1" applyFont="1" applyBorder="1" applyAlignment="1" applyProtection="1">
      <alignment horizontal="right"/>
    </xf>
    <xf numFmtId="0" fontId="25" fillId="0" borderId="0" xfId="0" applyFont="1" applyAlignment="1" applyProtection="1">
      <alignment vertical="top"/>
      <protection locked="0"/>
    </xf>
    <xf numFmtId="41" fontId="25" fillId="0" borderId="0" xfId="1" applyNumberFormat="1" applyFont="1" applyFill="1" applyBorder="1" applyProtection="1">
      <protection locked="0"/>
    </xf>
    <xf numFmtId="0" fontId="25" fillId="0" borderId="0" xfId="0" applyFont="1" applyAlignment="1">
      <alignment horizontal="left" wrapText="1"/>
    </xf>
    <xf numFmtId="0" fontId="25" fillId="2" borderId="2" xfId="124" applyFont="1" applyFill="1" applyBorder="1" applyAlignment="1" applyProtection="1">
      <alignment wrapText="1"/>
      <protection locked="0"/>
    </xf>
    <xf numFmtId="41" fontId="128" fillId="0" borderId="0" xfId="0" applyNumberFormat="1" applyFont="1"/>
    <xf numFmtId="0" fontId="128" fillId="0" borderId="0" xfId="0" applyFont="1"/>
    <xf numFmtId="0" fontId="74" fillId="0" borderId="2" xfId="0" applyFont="1" applyBorder="1" applyAlignment="1">
      <alignment horizontal="center" vertical="center"/>
    </xf>
    <xf numFmtId="0" fontId="8" fillId="0" borderId="0" xfId="42" applyAlignment="1">
      <alignment vertical="center"/>
    </xf>
    <xf numFmtId="0" fontId="103" fillId="0" borderId="13" xfId="142" applyFont="1" applyBorder="1" applyAlignment="1" applyProtection="1">
      <alignment horizontal="center" wrapText="1"/>
      <protection locked="0"/>
    </xf>
    <xf numFmtId="41" fontId="104" fillId="0" borderId="0" xfId="142" applyNumberFormat="1" applyFont="1" applyProtection="1">
      <protection locked="0"/>
    </xf>
    <xf numFmtId="41" fontId="8" fillId="0" borderId="0" xfId="1" applyNumberFormat="1" applyFont="1" applyFill="1" applyAlignment="1" applyProtection="1">
      <alignment horizontal="right"/>
    </xf>
    <xf numFmtId="164" fontId="27" fillId="0" borderId="0" xfId="68" applyNumberFormat="1" applyFont="1" applyBorder="1" applyProtection="1"/>
    <xf numFmtId="0" fontId="27" fillId="0" borderId="19" xfId="42" applyFont="1" applyBorder="1"/>
    <xf numFmtId="3" fontId="7" fillId="2" borderId="2" xfId="68" applyNumberFormat="1" applyFont="1" applyFill="1" applyBorder="1" applyAlignment="1" applyProtection="1">
      <alignment horizontal="right"/>
      <protection locked="0"/>
    </xf>
    <xf numFmtId="0" fontId="7" fillId="0" borderId="0" xfId="14"/>
    <xf numFmtId="0" fontId="8" fillId="0" borderId="2" xfId="0" applyFont="1" applyBorder="1" applyAlignment="1">
      <alignment wrapText="1"/>
    </xf>
    <xf numFmtId="0" fontId="8" fillId="0" borderId="0" xfId="20" applyFont="1" applyAlignment="1">
      <alignment wrapText="1"/>
    </xf>
    <xf numFmtId="0" fontId="8" fillId="0" borderId="19" xfId="42" applyBorder="1"/>
    <xf numFmtId="0" fontId="8" fillId="0" borderId="19" xfId="42" applyBorder="1" applyAlignment="1">
      <alignment horizontal="left"/>
    </xf>
    <xf numFmtId="41" fontId="81" fillId="0" borderId="12" xfId="1" applyNumberFormat="1" applyFont="1" applyBorder="1" applyAlignment="1" applyProtection="1">
      <alignment horizontal="right"/>
    </xf>
    <xf numFmtId="0" fontId="25" fillId="0" borderId="0" xfId="14" applyFont="1" applyAlignment="1">
      <alignment horizontal="center"/>
    </xf>
    <xf numFmtId="49" fontId="7" fillId="0" borderId="0" xfId="14" applyNumberFormat="1" applyAlignment="1">
      <alignment horizontal="center" wrapText="1"/>
    </xf>
    <xf numFmtId="0" fontId="136" fillId="0" borderId="0" xfId="0" applyFont="1"/>
    <xf numFmtId="0" fontId="116" fillId="0" borderId="0" xfId="42" applyFont="1" applyAlignment="1">
      <alignment horizontal="left"/>
    </xf>
    <xf numFmtId="0" fontId="116" fillId="0" borderId="0" xfId="42" applyFont="1" applyAlignment="1">
      <alignment horizontal="left" indent="1"/>
    </xf>
    <xf numFmtId="0" fontId="116" fillId="0" borderId="0" xfId="42" applyFont="1"/>
    <xf numFmtId="0" fontId="119" fillId="0" borderId="0" xfId="0" applyFont="1" applyAlignment="1">
      <alignment horizontal="left"/>
    </xf>
    <xf numFmtId="41" fontId="8" fillId="0" borderId="0" xfId="1" applyNumberFormat="1" applyFont="1" applyFill="1" applyBorder="1" applyAlignment="1" applyProtection="1">
      <alignment horizontal="right"/>
      <protection locked="0"/>
    </xf>
    <xf numFmtId="41" fontId="8" fillId="0" borderId="5" xfId="1" applyNumberFormat="1" applyFont="1" applyBorder="1" applyProtection="1"/>
    <xf numFmtId="41" fontId="8" fillId="0" borderId="24" xfId="1" applyNumberFormat="1" applyFont="1" applyBorder="1" applyProtection="1"/>
    <xf numFmtId="0" fontId="9" fillId="0" borderId="19" xfId="20" applyFont="1" applyBorder="1"/>
    <xf numFmtId="0" fontId="9" fillId="0" borderId="19" xfId="42" applyFont="1" applyBorder="1"/>
    <xf numFmtId="0" fontId="57" fillId="0" borderId="12" xfId="0" applyFont="1" applyBorder="1" applyAlignment="1">
      <alignment horizontal="right"/>
    </xf>
    <xf numFmtId="41" fontId="57" fillId="0" borderId="12" xfId="1" applyNumberFormat="1" applyFont="1" applyBorder="1" applyAlignment="1" applyProtection="1">
      <alignment horizontal="right"/>
    </xf>
    <xf numFmtId="164" fontId="25" fillId="0" borderId="12" xfId="1" applyNumberFormat="1" applyFont="1" applyBorder="1" applyAlignment="1" applyProtection="1">
      <alignment horizontal="right"/>
    </xf>
    <xf numFmtId="0" fontId="24" fillId="0" borderId="16" xfId="0" applyFont="1" applyBorder="1" applyAlignment="1">
      <alignment horizontal="left"/>
    </xf>
    <xf numFmtId="164" fontId="25" fillId="0" borderId="16" xfId="1" applyNumberFormat="1" applyFont="1" applyBorder="1" applyAlignment="1" applyProtection="1">
      <alignment horizontal="right"/>
    </xf>
    <xf numFmtId="0" fontId="79" fillId="0" borderId="0" xfId="14" quotePrefix="1" applyFont="1" applyAlignment="1">
      <alignment horizontal="right"/>
    </xf>
    <xf numFmtId="37" fontId="41" fillId="0" borderId="0" xfId="1" applyNumberFormat="1" applyFont="1" applyFill="1" applyBorder="1" applyProtection="1"/>
    <xf numFmtId="41" fontId="41" fillId="0" borderId="0" xfId="1" applyNumberFormat="1" applyFont="1" applyFill="1" applyBorder="1" applyProtection="1"/>
    <xf numFmtId="0" fontId="79" fillId="2" borderId="2" xfId="0" applyFont="1" applyFill="1" applyBorder="1" applyAlignment="1" applyProtection="1">
      <alignment horizontal="center" vertical="center" wrapText="1"/>
      <protection locked="0"/>
    </xf>
    <xf numFmtId="0" fontId="79" fillId="0" borderId="2" xfId="0" applyFont="1" applyBorder="1" applyAlignment="1">
      <alignment horizontal="center" vertical="center"/>
    </xf>
    <xf numFmtId="0" fontId="79" fillId="0" borderId="2" xfId="0" applyFont="1" applyBorder="1" applyAlignment="1">
      <alignment horizontal="left" vertical="top" wrapText="1"/>
    </xf>
    <xf numFmtId="0" fontId="79" fillId="2" borderId="2" xfId="0" applyFont="1" applyFill="1" applyBorder="1" applyAlignment="1" applyProtection="1">
      <alignment horizontal="center" vertical="center"/>
      <protection locked="0"/>
    </xf>
    <xf numFmtId="0" fontId="79" fillId="0" borderId="2" xfId="16" applyFont="1" applyBorder="1" applyAlignment="1">
      <alignment vertical="top" wrapText="1"/>
    </xf>
    <xf numFmtId="0" fontId="79" fillId="0" borderId="0" xfId="16" applyFont="1" applyAlignment="1" applyProtection="1">
      <alignment wrapText="1"/>
      <protection locked="0"/>
    </xf>
    <xf numFmtId="0" fontId="79" fillId="0" borderId="0" xfId="16" applyFont="1" applyAlignment="1">
      <alignment wrapText="1"/>
    </xf>
    <xf numFmtId="0" fontId="79" fillId="0" borderId="20" xfId="16" applyFont="1" applyBorder="1" applyAlignment="1">
      <alignment wrapText="1"/>
    </xf>
    <xf numFmtId="0" fontId="79" fillId="5" borderId="2" xfId="0" applyFont="1" applyFill="1" applyBorder="1" applyAlignment="1" applyProtection="1">
      <alignment wrapText="1"/>
      <protection locked="0"/>
    </xf>
    <xf numFmtId="0" fontId="79" fillId="0" borderId="16" xfId="16" applyFont="1" applyBorder="1" applyAlignment="1">
      <alignment vertical="top" wrapText="1"/>
    </xf>
    <xf numFmtId="0" fontId="41" fillId="0" borderId="0" xfId="0" applyFont="1"/>
    <xf numFmtId="0" fontId="41" fillId="0" borderId="20" xfId="0" applyFont="1" applyBorder="1"/>
    <xf numFmtId="0" fontId="79" fillId="2" borderId="2" xfId="16" applyFont="1" applyFill="1" applyBorder="1" applyAlignment="1" applyProtection="1">
      <alignment wrapText="1"/>
      <protection locked="0"/>
    </xf>
    <xf numFmtId="0" fontId="79" fillId="0" borderId="9" xfId="16" applyFont="1" applyBorder="1" applyAlignment="1">
      <alignment vertical="top" wrapText="1"/>
    </xf>
    <xf numFmtId="0" fontId="79" fillId="0" borderId="10" xfId="16" applyFont="1" applyBorder="1" applyAlignment="1">
      <alignment vertical="top" wrapText="1"/>
    </xf>
    <xf numFmtId="0" fontId="79" fillId="0" borderId="14" xfId="16" applyFont="1" applyBorder="1" applyAlignment="1">
      <alignment horizontal="center" vertical="center" wrapText="1"/>
    </xf>
    <xf numFmtId="0" fontId="79" fillId="5" borderId="2" xfId="16" applyFont="1" applyFill="1" applyBorder="1" applyAlignment="1" applyProtection="1">
      <alignment vertical="top" wrapText="1"/>
      <protection locked="0"/>
    </xf>
    <xf numFmtId="0" fontId="79" fillId="0" borderId="0" xfId="14" applyFont="1" applyAlignment="1">
      <alignment horizontal="right"/>
    </xf>
    <xf numFmtId="0" fontId="141" fillId="0" borderId="0" xfId="14" applyFont="1" applyAlignment="1">
      <alignment horizontal="right"/>
    </xf>
    <xf numFmtId="41" fontId="142" fillId="0" borderId="0" xfId="1" applyNumberFormat="1" applyFont="1" applyFill="1" applyBorder="1" applyAlignment="1" applyProtection="1">
      <alignment horizontal="right"/>
    </xf>
    <xf numFmtId="0" fontId="79" fillId="0" borderId="13" xfId="16" applyFont="1" applyBorder="1" applyAlignment="1">
      <alignment vertical="top" wrapText="1"/>
    </xf>
    <xf numFmtId="41" fontId="143" fillId="0" borderId="0" xfId="1" applyNumberFormat="1" applyFont="1" applyFill="1" applyBorder="1" applyProtection="1"/>
    <xf numFmtId="0" fontId="79" fillId="0" borderId="2" xfId="16" applyFont="1" applyBorder="1" applyAlignment="1">
      <alignment horizontal="center" vertical="center" wrapText="1"/>
    </xf>
    <xf numFmtId="0" fontId="79" fillId="0" borderId="0" xfId="0" applyFont="1" applyAlignment="1">
      <alignment horizontal="center" vertical="center" wrapText="1"/>
    </xf>
    <xf numFmtId="0" fontId="79" fillId="0" borderId="14" xfId="16" applyFont="1" applyBorder="1" applyAlignment="1">
      <alignment vertical="top" wrapText="1"/>
    </xf>
    <xf numFmtId="0" fontId="79" fillId="0" borderId="10" xfId="0" applyFont="1" applyBorder="1" applyAlignment="1">
      <alignment horizontal="center" vertical="center" wrapText="1"/>
    </xf>
    <xf numFmtId="41" fontId="79" fillId="5" borderId="2" xfId="16" applyNumberFormat="1" applyFont="1" applyFill="1" applyBorder="1" applyAlignment="1" applyProtection="1">
      <alignment vertical="top" wrapText="1"/>
      <protection locked="0"/>
    </xf>
    <xf numFmtId="41" fontId="79" fillId="0" borderId="0" xfId="14" applyNumberFormat="1" applyFont="1" applyAlignment="1">
      <alignment horizontal="center"/>
    </xf>
    <xf numFmtId="41" fontId="79" fillId="0" borderId="0" xfId="14" applyNumberFormat="1" applyFont="1" applyAlignment="1">
      <alignment horizontal="center" wrapText="1"/>
    </xf>
    <xf numFmtId="0" fontId="79" fillId="0" borderId="0" xfId="14" applyFont="1" applyAlignment="1">
      <alignment horizontal="center"/>
    </xf>
    <xf numFmtId="164" fontId="41" fillId="0" borderId="0" xfId="1" applyNumberFormat="1" applyFont="1" applyFill="1" applyBorder="1" applyProtection="1"/>
    <xf numFmtId="0" fontId="79" fillId="0" borderId="0" xfId="0" applyFont="1" applyAlignment="1">
      <alignment horizontal="center"/>
    </xf>
    <xf numFmtId="41" fontId="79" fillId="2" borderId="2" xfId="16" applyNumberFormat="1" applyFont="1" applyFill="1" applyBorder="1" applyProtection="1">
      <protection locked="0"/>
    </xf>
    <xf numFmtId="0" fontId="25" fillId="6" borderId="0" xfId="0" applyFont="1" applyFill="1" applyAlignment="1">
      <alignment vertical="top"/>
    </xf>
    <xf numFmtId="0" fontId="25" fillId="6" borderId="0" xfId="0" applyFont="1" applyFill="1" applyAlignment="1">
      <alignment vertical="top" wrapText="1"/>
    </xf>
    <xf numFmtId="0" fontId="75" fillId="6" borderId="2" xfId="0" applyFont="1" applyFill="1" applyBorder="1" applyAlignment="1">
      <alignment vertical="top" wrapText="1"/>
    </xf>
    <xf numFmtId="0" fontId="35" fillId="6" borderId="0" xfId="0" applyFont="1" applyFill="1"/>
    <xf numFmtId="0" fontId="35" fillId="6" borderId="9" xfId="0" applyFont="1" applyFill="1" applyBorder="1" applyAlignment="1">
      <alignment horizontal="center" vertical="center"/>
    </xf>
    <xf numFmtId="0" fontId="35" fillId="2" borderId="2" xfId="38" applyFont="1" applyFill="1" applyBorder="1" applyAlignment="1" applyProtection="1">
      <alignment horizontal="center" vertical="center"/>
      <protection locked="0"/>
    </xf>
    <xf numFmtId="0" fontId="35" fillId="6" borderId="2" xfId="0" applyFont="1" applyFill="1" applyBorder="1" applyAlignment="1">
      <alignment vertical="top" wrapText="1"/>
    </xf>
    <xf numFmtId="0" fontId="24" fillId="0" borderId="0" xfId="0" applyFont="1" applyAlignment="1">
      <alignment horizontal="left" wrapText="1"/>
    </xf>
    <xf numFmtId="0" fontId="25" fillId="0" borderId="12" xfId="0" applyFont="1" applyBorder="1" applyAlignment="1">
      <alignment vertical="top" wrapText="1"/>
    </xf>
    <xf numFmtId="164" fontId="8" fillId="0" borderId="20" xfId="1" applyNumberFormat="1" applyFont="1" applyBorder="1" applyAlignment="1" applyProtection="1">
      <alignment horizontal="center"/>
    </xf>
    <xf numFmtId="41" fontId="8" fillId="0" borderId="20" xfId="1" applyNumberFormat="1" applyFont="1" applyFill="1" applyBorder="1" applyProtection="1"/>
    <xf numFmtId="0" fontId="8" fillId="0" borderId="0" xfId="42" applyAlignment="1">
      <alignment horizontal="left"/>
    </xf>
    <xf numFmtId="0" fontId="27" fillId="0" borderId="0" xfId="42" applyFont="1"/>
    <xf numFmtId="0" fontId="8" fillId="0" borderId="20" xfId="1" applyNumberFormat="1" applyFont="1" applyFill="1" applyBorder="1" applyProtection="1"/>
    <xf numFmtId="164" fontId="81" fillId="0" borderId="0" xfId="20" applyNumberFormat="1" applyFont="1"/>
    <xf numFmtId="41" fontId="81" fillId="0" borderId="0" xfId="20" applyNumberFormat="1" applyFont="1"/>
    <xf numFmtId="0" fontId="37" fillId="0" borderId="0" xfId="11" applyFont="1" applyAlignment="1">
      <alignment wrapText="1"/>
    </xf>
    <xf numFmtId="0" fontId="25" fillId="6" borderId="3" xfId="20" applyFont="1" applyFill="1" applyBorder="1" applyAlignment="1">
      <alignment horizontal="center" vertical="top" wrapText="1"/>
    </xf>
    <xf numFmtId="0" fontId="25" fillId="6" borderId="12" xfId="20" applyFont="1" applyFill="1" applyBorder="1" applyAlignment="1">
      <alignment horizontal="center" vertical="top" wrapText="1"/>
    </xf>
    <xf numFmtId="3" fontId="25" fillId="0" borderId="12" xfId="1" applyNumberFormat="1" applyFont="1" applyBorder="1" applyProtection="1"/>
    <xf numFmtId="0" fontId="25" fillId="0" borderId="16" xfId="0" applyFont="1" applyBorder="1" applyAlignment="1">
      <alignment horizontal="left" vertical="top" wrapText="1"/>
    </xf>
    <xf numFmtId="0" fontId="25" fillId="0" borderId="16" xfId="20" applyFont="1" applyBorder="1"/>
    <xf numFmtId="166" fontId="54" fillId="0" borderId="0" xfId="0" applyNumberFormat="1" applyFont="1" applyAlignment="1">
      <alignment horizontal="left"/>
    </xf>
    <xf numFmtId="0" fontId="146" fillId="0" borderId="0" xfId="0" applyFont="1"/>
    <xf numFmtId="41" fontId="8" fillId="0" borderId="15" xfId="0" applyNumberFormat="1" applyFont="1" applyBorder="1" applyProtection="1">
      <protection locked="0"/>
    </xf>
    <xf numFmtId="0" fontId="79" fillId="0" borderId="2" xfId="38" applyFont="1" applyBorder="1" applyAlignment="1">
      <alignment wrapText="1"/>
    </xf>
    <xf numFmtId="0" fontId="35" fillId="2" borderId="2" xfId="142" applyFont="1" applyFill="1" applyBorder="1" applyAlignment="1" applyProtection="1">
      <alignment wrapText="1"/>
      <protection locked="0"/>
    </xf>
    <xf numFmtId="0" fontId="35" fillId="0" borderId="0" xfId="20" applyFont="1"/>
    <xf numFmtId="0" fontId="35" fillId="0" borderId="0" xfId="20" applyFont="1" applyAlignment="1">
      <alignment vertical="center"/>
    </xf>
    <xf numFmtId="3" fontId="25" fillId="6" borderId="0" xfId="1" applyNumberFormat="1" applyFont="1" applyFill="1" applyBorder="1" applyProtection="1"/>
    <xf numFmtId="3" fontId="25" fillId="6" borderId="0" xfId="1" applyNumberFormat="1" applyFont="1" applyFill="1" applyBorder="1" applyAlignment="1" applyProtection="1">
      <alignment horizontal="right"/>
    </xf>
    <xf numFmtId="3" fontId="25" fillId="6" borderId="10" xfId="1" applyNumberFormat="1" applyFont="1" applyFill="1" applyBorder="1" applyAlignment="1" applyProtection="1">
      <alignment horizontal="right"/>
    </xf>
    <xf numFmtId="0" fontId="8" fillId="0" borderId="12" xfId="0" applyFont="1" applyBorder="1" applyAlignment="1">
      <alignment wrapText="1"/>
    </xf>
    <xf numFmtId="41" fontId="128" fillId="8" borderId="0" xfId="0" applyNumberFormat="1" applyFont="1" applyFill="1" applyAlignment="1">
      <alignment horizontal="center" vertical="top" wrapText="1"/>
    </xf>
    <xf numFmtId="41" fontId="8" fillId="0" borderId="0" xfId="20" applyNumberFormat="1" applyFont="1" applyAlignment="1">
      <alignment horizontal="left" indent="2"/>
    </xf>
    <xf numFmtId="164" fontId="25" fillId="2" borderId="2" xfId="1" applyNumberFormat="1" applyFont="1" applyFill="1" applyBorder="1" applyAlignment="1" applyProtection="1">
      <alignment horizontal="center"/>
      <protection locked="0"/>
    </xf>
    <xf numFmtId="164" fontId="25" fillId="0" borderId="2" xfId="1" applyNumberFormat="1" applyFont="1" applyBorder="1" applyProtection="1"/>
    <xf numFmtId="41" fontId="25" fillId="0" borderId="2" xfId="1" applyNumberFormat="1" applyFont="1" applyBorder="1" applyAlignment="1" applyProtection="1">
      <alignment horizontal="right"/>
    </xf>
    <xf numFmtId="0" fontId="25" fillId="2" borderId="2" xfId="38" applyFont="1" applyFill="1" applyBorder="1" applyAlignment="1" applyProtection="1">
      <alignment horizontal="center" vertical="center" wrapText="1"/>
      <protection locked="0"/>
    </xf>
    <xf numFmtId="0" fontId="0" fillId="6" borderId="0" xfId="0" applyFill="1"/>
    <xf numFmtId="0" fontId="9" fillId="6" borderId="0" xfId="38" applyFont="1" applyFill="1"/>
    <xf numFmtId="0" fontId="9" fillId="6" borderId="0" xfId="38" applyFont="1" applyFill="1" applyAlignment="1">
      <alignment horizontal="center"/>
    </xf>
    <xf numFmtId="0" fontId="7" fillId="6" borderId="0" xfId="38" applyFill="1"/>
    <xf numFmtId="0" fontId="24" fillId="6" borderId="0" xfId="38" applyFont="1" applyFill="1"/>
    <xf numFmtId="0" fontId="35" fillId="6" borderId="0" xfId="38" applyFont="1" applyFill="1"/>
    <xf numFmtId="0" fontId="35" fillId="6" borderId="0" xfId="74" applyFont="1" applyFill="1" applyAlignment="1">
      <alignment wrapText="1"/>
    </xf>
    <xf numFmtId="0" fontId="34" fillId="6" borderId="0" xfId="38" applyFont="1" applyFill="1"/>
    <xf numFmtId="181" fontId="7" fillId="6" borderId="0" xfId="38" applyNumberFormat="1" applyFill="1"/>
    <xf numFmtId="0" fontId="119" fillId="0" borderId="3" xfId="0" applyFont="1" applyBorder="1" applyAlignment="1">
      <alignment vertical="top"/>
    </xf>
    <xf numFmtId="0" fontId="119" fillId="0" borderId="10" xfId="0" applyFont="1" applyBorder="1" applyAlignment="1">
      <alignment vertical="top"/>
    </xf>
    <xf numFmtId="14" fontId="116" fillId="9" borderId="2" xfId="0" applyNumberFormat="1" applyFont="1" applyFill="1" applyBorder="1" applyAlignment="1">
      <alignment horizontal="right"/>
    </xf>
    <xf numFmtId="14" fontId="116" fillId="0" borderId="0" xfId="0" applyNumberFormat="1" applyFont="1" applyAlignment="1">
      <alignment horizontal="right"/>
    </xf>
    <xf numFmtId="14" fontId="116" fillId="0" borderId="0" xfId="0" applyNumberFormat="1" applyFont="1"/>
    <xf numFmtId="0" fontId="116" fillId="9" borderId="2" xfId="0" applyFont="1" applyFill="1" applyBorder="1"/>
    <xf numFmtId="41" fontId="116" fillId="9" borderId="2" xfId="0" applyNumberFormat="1" applyFont="1" applyFill="1" applyBorder="1"/>
    <xf numFmtId="41" fontId="116" fillId="10" borderId="0" xfId="0" applyNumberFormat="1" applyFont="1" applyFill="1"/>
    <xf numFmtId="0" fontId="116" fillId="10" borderId="0" xfId="0" applyFont="1" applyFill="1"/>
    <xf numFmtId="0" fontId="116" fillId="11" borderId="9" xfId="0" applyFont="1" applyFill="1" applyBorder="1"/>
    <xf numFmtId="0" fontId="116" fillId="11" borderId="3" xfId="0" applyFont="1" applyFill="1" applyBorder="1"/>
    <xf numFmtId="41" fontId="116" fillId="11" borderId="3" xfId="0" applyNumberFormat="1" applyFont="1" applyFill="1" applyBorder="1"/>
    <xf numFmtId="41" fontId="116" fillId="11" borderId="10" xfId="0" applyNumberFormat="1" applyFont="1" applyFill="1" applyBorder="1"/>
    <xf numFmtId="41" fontId="149" fillId="8" borderId="0" xfId="0" applyNumberFormat="1" applyFont="1" applyFill="1" applyAlignment="1">
      <alignment horizontal="center" wrapText="1"/>
    </xf>
    <xf numFmtId="41" fontId="121" fillId="8" borderId="0" xfId="0" applyNumberFormat="1" applyFont="1" applyFill="1" applyAlignment="1">
      <alignment horizontal="center" wrapText="1"/>
    </xf>
    <xf numFmtId="41" fontId="121" fillId="10" borderId="0" xfId="0" applyNumberFormat="1" applyFont="1" applyFill="1" applyAlignment="1">
      <alignment horizontal="center" wrapText="1"/>
    </xf>
    <xf numFmtId="41" fontId="150" fillId="6" borderId="0" xfId="0" applyNumberFormat="1" applyFont="1" applyFill="1" applyAlignment="1">
      <alignment horizontal="center" wrapText="1"/>
    </xf>
    <xf numFmtId="41" fontId="121" fillId="12" borderId="0" xfId="0" applyNumberFormat="1" applyFont="1" applyFill="1" applyAlignment="1">
      <alignment horizontal="center" wrapText="1"/>
    </xf>
    <xf numFmtId="0" fontId="116" fillId="6" borderId="0" xfId="0" applyFont="1" applyFill="1"/>
    <xf numFmtId="41" fontId="121" fillId="8" borderId="0" xfId="0" applyNumberFormat="1" applyFont="1" applyFill="1" applyAlignment="1">
      <alignment horizontal="center" vertical="top" wrapText="1"/>
    </xf>
    <xf numFmtId="41" fontId="121" fillId="13" borderId="0" xfId="0" applyNumberFormat="1" applyFont="1" applyFill="1" applyAlignment="1">
      <alignment horizontal="center" wrapText="1"/>
    </xf>
    <xf numFmtId="41" fontId="121" fillId="14" borderId="0" xfId="0" applyNumberFormat="1" applyFont="1" applyFill="1" applyAlignment="1">
      <alignment horizontal="center" wrapText="1"/>
    </xf>
    <xf numFmtId="41" fontId="150" fillId="0" borderId="0" xfId="0" applyNumberFormat="1" applyFont="1" applyAlignment="1">
      <alignment horizontal="center" wrapText="1"/>
    </xf>
    <xf numFmtId="0" fontId="116" fillId="13" borderId="0" xfId="0" applyFont="1" applyFill="1"/>
    <xf numFmtId="0" fontId="116" fillId="14" borderId="0" xfId="0" applyFont="1" applyFill="1"/>
    <xf numFmtId="41" fontId="116" fillId="10" borderId="2" xfId="0" applyNumberFormat="1" applyFont="1" applyFill="1" applyBorder="1"/>
    <xf numFmtId="41" fontId="116" fillId="13" borderId="2" xfId="0" applyNumberFormat="1" applyFont="1" applyFill="1" applyBorder="1"/>
    <xf numFmtId="41" fontId="116" fillId="14" borderId="2" xfId="0" applyNumberFormat="1" applyFont="1" applyFill="1" applyBorder="1"/>
    <xf numFmtId="164" fontId="116" fillId="0" borderId="0" xfId="0" applyNumberFormat="1" applyFont="1"/>
    <xf numFmtId="41" fontId="116" fillId="10" borderId="3" xfId="0" applyNumberFormat="1" applyFont="1" applyFill="1" applyBorder="1"/>
    <xf numFmtId="41" fontId="116" fillId="13" borderId="3" xfId="0" applyNumberFormat="1" applyFont="1" applyFill="1" applyBorder="1"/>
    <xf numFmtId="41" fontId="116" fillId="14" borderId="3" xfId="0" applyNumberFormat="1" applyFont="1" applyFill="1" applyBorder="1"/>
    <xf numFmtId="41" fontId="116" fillId="13" borderId="0" xfId="0" applyNumberFormat="1" applyFont="1" applyFill="1"/>
    <xf numFmtId="41" fontId="116" fillId="14" borderId="0" xfId="0" applyNumberFormat="1" applyFont="1" applyFill="1"/>
    <xf numFmtId="0" fontId="151" fillId="0" borderId="0" xfId="0" applyFont="1"/>
    <xf numFmtId="41" fontId="152" fillId="2" borderId="2" xfId="0" applyNumberFormat="1" applyFont="1" applyFill="1" applyBorder="1" applyProtection="1">
      <protection locked="0"/>
    </xf>
    <xf numFmtId="41" fontId="152" fillId="0" borderId="0" xfId="0" applyNumberFormat="1" applyFont="1"/>
    <xf numFmtId="0" fontId="116" fillId="15" borderId="0" xfId="0" applyFont="1" applyFill="1"/>
    <xf numFmtId="41" fontId="116" fillId="10" borderId="7" xfId="0" applyNumberFormat="1" applyFont="1" applyFill="1" applyBorder="1"/>
    <xf numFmtId="41" fontId="116" fillId="13" borderId="7" xfId="0" applyNumberFormat="1" applyFont="1" applyFill="1" applyBorder="1"/>
    <xf numFmtId="41" fontId="116" fillId="14" borderId="7" xfId="0" applyNumberFormat="1" applyFont="1" applyFill="1" applyBorder="1"/>
    <xf numFmtId="41" fontId="117" fillId="2" borderId="2" xfId="0" applyNumberFormat="1" applyFont="1" applyFill="1" applyBorder="1"/>
    <xf numFmtId="41" fontId="116" fillId="10" borderId="12" xfId="0" applyNumberFormat="1" applyFont="1" applyFill="1" applyBorder="1"/>
    <xf numFmtId="41" fontId="116" fillId="13" borderId="12" xfId="0" applyNumberFormat="1" applyFont="1" applyFill="1" applyBorder="1"/>
    <xf numFmtId="41" fontId="116" fillId="14" borderId="12" xfId="0" applyNumberFormat="1" applyFont="1" applyFill="1" applyBorder="1"/>
    <xf numFmtId="41" fontId="128" fillId="10" borderId="0" xfId="0" applyNumberFormat="1" applyFont="1" applyFill="1"/>
    <xf numFmtId="41" fontId="128" fillId="13" borderId="0" xfId="0" applyNumberFormat="1" applyFont="1" applyFill="1"/>
    <xf numFmtId="41" fontId="128" fillId="14" borderId="0" xfId="0" applyNumberFormat="1" applyFont="1" applyFill="1"/>
    <xf numFmtId="0" fontId="116" fillId="0" borderId="0" xfId="0" applyFont="1" applyAlignment="1">
      <alignment horizontal="centerContinuous"/>
    </xf>
    <xf numFmtId="0" fontId="116" fillId="0" borderId="9" xfId="0" applyFont="1" applyBorder="1" applyAlignment="1">
      <alignment horizontal="centerContinuous"/>
    </xf>
    <xf numFmtId="0" fontId="116" fillId="0" borderId="3" xfId="0" applyFont="1" applyBorder="1" applyAlignment="1">
      <alignment horizontal="centerContinuous"/>
    </xf>
    <xf numFmtId="0" fontId="117" fillId="0" borderId="3" xfId="0" applyFont="1" applyBorder="1" applyAlignment="1">
      <alignment horizontal="centerContinuous"/>
    </xf>
    <xf numFmtId="0" fontId="116" fillId="0" borderId="10" xfId="0" applyFont="1" applyBorder="1" applyAlignment="1">
      <alignment horizontal="centerContinuous"/>
    </xf>
    <xf numFmtId="0" fontId="116" fillId="0" borderId="0" xfId="42" applyFont="1" applyAlignment="1">
      <alignment horizontal="left" wrapText="1" indent="1"/>
    </xf>
    <xf numFmtId="0" fontId="116" fillId="0" borderId="0" xfId="42" applyFont="1" applyAlignment="1" applyProtection="1">
      <alignment horizontal="left" indent="2"/>
      <protection locked="0"/>
    </xf>
    <xf numFmtId="0" fontId="116" fillId="0" borderId="0" xfId="42" quotePrefix="1" applyFont="1" applyAlignment="1">
      <alignment horizontal="left"/>
    </xf>
    <xf numFmtId="41" fontId="116" fillId="10" borderId="8" xfId="0" applyNumberFormat="1" applyFont="1" applyFill="1" applyBorder="1"/>
    <xf numFmtId="41" fontId="116" fillId="13" borderId="8" xfId="0" applyNumberFormat="1" applyFont="1" applyFill="1" applyBorder="1"/>
    <xf numFmtId="41" fontId="116" fillId="14" borderId="8" xfId="0" applyNumberFormat="1" applyFont="1" applyFill="1" applyBorder="1"/>
    <xf numFmtId="41" fontId="116" fillId="0" borderId="25" xfId="0" applyNumberFormat="1" applyFont="1" applyBorder="1"/>
    <xf numFmtId="0" fontId="116" fillId="9" borderId="9" xfId="0" applyFont="1" applyFill="1" applyBorder="1"/>
    <xf numFmtId="0" fontId="116" fillId="9" borderId="3" xfId="0" applyFont="1" applyFill="1" applyBorder="1"/>
    <xf numFmtId="0" fontId="116" fillId="9" borderId="10" xfId="0" applyFont="1" applyFill="1" applyBorder="1"/>
    <xf numFmtId="0" fontId="117" fillId="0" borderId="10" xfId="0" applyFont="1" applyBorder="1" applyAlignment="1">
      <alignment horizontal="centerContinuous"/>
    </xf>
    <xf numFmtId="0" fontId="153" fillId="0" borderId="0" xfId="0" applyFont="1"/>
    <xf numFmtId="0" fontId="153" fillId="0" borderId="0" xfId="0" applyFont="1" applyAlignment="1">
      <alignment horizontal="right"/>
    </xf>
    <xf numFmtId="41" fontId="121" fillId="16" borderId="0" xfId="0" applyNumberFormat="1" applyFont="1" applyFill="1" applyAlignment="1">
      <alignment horizontal="center" wrapText="1"/>
    </xf>
    <xf numFmtId="0" fontId="119" fillId="0" borderId="9" xfId="0" applyFont="1" applyBorder="1" applyAlignment="1">
      <alignment vertical="top" wrapText="1"/>
    </xf>
    <xf numFmtId="0" fontId="119" fillId="0" borderId="0" xfId="0" applyFont="1" applyAlignment="1">
      <alignment vertical="top"/>
    </xf>
    <xf numFmtId="0" fontId="116" fillId="13" borderId="9" xfId="0" applyFont="1" applyFill="1" applyBorder="1" applyAlignment="1">
      <alignment vertical="top"/>
    </xf>
    <xf numFmtId="0" fontId="116" fillId="13" borderId="3" xfId="0" applyFont="1" applyFill="1" applyBorder="1" applyAlignment="1">
      <alignment vertical="top"/>
    </xf>
    <xf numFmtId="0" fontId="116" fillId="13" borderId="10" xfId="0" applyFont="1" applyFill="1" applyBorder="1" applyAlignment="1">
      <alignment vertical="top"/>
    </xf>
    <xf numFmtId="0" fontId="119" fillId="6" borderId="0" xfId="0" applyFont="1" applyFill="1" applyAlignment="1">
      <alignment vertical="top" wrapText="1"/>
    </xf>
    <xf numFmtId="0" fontId="119" fillId="0" borderId="0" xfId="0" applyFont="1" applyAlignment="1">
      <alignment vertical="top" wrapText="1"/>
    </xf>
    <xf numFmtId="0" fontId="116" fillId="13" borderId="0" xfId="0" applyFont="1" applyFill="1" applyAlignment="1">
      <alignment vertical="top" wrapText="1"/>
    </xf>
    <xf numFmtId="0" fontId="116" fillId="13" borderId="0" xfId="0" applyFont="1" applyFill="1" applyAlignment="1">
      <alignment vertical="top"/>
    </xf>
    <xf numFmtId="0" fontId="116" fillId="7" borderId="0" xfId="0" applyFont="1" applyFill="1" applyAlignment="1">
      <alignment vertical="top" wrapText="1"/>
    </xf>
    <xf numFmtId="0" fontId="116" fillId="17" borderId="0" xfId="0" applyFont="1" applyFill="1" applyAlignment="1">
      <alignment vertical="top" wrapText="1"/>
    </xf>
    <xf numFmtId="0" fontId="116" fillId="17" borderId="0" xfId="0" applyFont="1" applyFill="1" applyAlignment="1">
      <alignment vertical="top"/>
    </xf>
    <xf numFmtId="41" fontId="119" fillId="18" borderId="2" xfId="0" applyNumberFormat="1" applyFont="1" applyFill="1" applyBorder="1"/>
    <xf numFmtId="0" fontId="125" fillId="16" borderId="0" xfId="0" applyFont="1" applyFill="1" applyAlignment="1">
      <alignment horizontal="center" wrapText="1"/>
    </xf>
    <xf numFmtId="41" fontId="119" fillId="18" borderId="2" xfId="0" applyNumberFormat="1" applyFont="1" applyFill="1" applyBorder="1" applyAlignment="1">
      <alignment wrapText="1"/>
    </xf>
    <xf numFmtId="38" fontId="8" fillId="0" borderId="2" xfId="74" applyNumberFormat="1" applyBorder="1" applyAlignment="1">
      <alignment horizontal="center" wrapText="1"/>
    </xf>
    <xf numFmtId="0" fontId="9" fillId="0" borderId="0" xfId="74" applyFont="1" applyAlignment="1">
      <alignment horizontal="left" wrapText="1"/>
    </xf>
    <xf numFmtId="0" fontId="35" fillId="6" borderId="0" xfId="0" applyFont="1" applyFill="1" applyAlignment="1">
      <alignment vertical="top"/>
    </xf>
    <xf numFmtId="0" fontId="67" fillId="6" borderId="0" xfId="0" applyFont="1" applyFill="1"/>
    <xf numFmtId="0" fontId="152" fillId="0" borderId="0" xfId="16" applyFont="1"/>
    <xf numFmtId="41" fontId="117" fillId="8" borderId="0" xfId="0" applyNumberFormat="1" applyFont="1" applyFill="1" applyAlignment="1">
      <alignment horizontal="center" wrapText="1"/>
    </xf>
    <xf numFmtId="164" fontId="9" fillId="2" borderId="2" xfId="1" applyNumberFormat="1" applyFont="1" applyFill="1" applyBorder="1" applyAlignment="1" applyProtection="1">
      <alignment horizontal="center"/>
      <protection locked="0"/>
    </xf>
    <xf numFmtId="41" fontId="155" fillId="13" borderId="16" xfId="0" applyNumberFormat="1" applyFont="1" applyFill="1" applyBorder="1" applyAlignment="1">
      <alignment horizontal="center" wrapText="1"/>
    </xf>
    <xf numFmtId="41" fontId="155" fillId="13" borderId="18" xfId="0" applyNumberFormat="1" applyFont="1" applyFill="1" applyBorder="1" applyAlignment="1">
      <alignment horizontal="center" wrapText="1"/>
    </xf>
    <xf numFmtId="41" fontId="121" fillId="8" borderId="9" xfId="0" applyNumberFormat="1" applyFont="1" applyFill="1" applyBorder="1" applyAlignment="1">
      <alignment horizontal="center" wrapText="1"/>
    </xf>
    <xf numFmtId="0" fontId="125" fillId="8" borderId="3" xfId="0" applyFont="1" applyFill="1" applyBorder="1" applyAlignment="1">
      <alignment horizontal="center" wrapText="1"/>
    </xf>
    <xf numFmtId="0" fontId="125" fillId="8" borderId="10" xfId="0" applyFont="1" applyFill="1" applyBorder="1" applyAlignment="1">
      <alignment horizontal="center" wrapText="1"/>
    </xf>
    <xf numFmtId="41" fontId="121" fillId="8" borderId="2" xfId="0" applyNumberFormat="1" applyFont="1" applyFill="1" applyBorder="1" applyAlignment="1">
      <alignment horizontal="center" vertical="top" wrapText="1"/>
    </xf>
    <xf numFmtId="0" fontId="125" fillId="8" borderId="2" xfId="0" applyFont="1" applyFill="1" applyBorder="1" applyAlignment="1">
      <alignment horizontal="center" vertical="top" wrapText="1"/>
    </xf>
    <xf numFmtId="41" fontId="121" fillId="17" borderId="9" xfId="0" applyNumberFormat="1" applyFont="1" applyFill="1" applyBorder="1" applyAlignment="1">
      <alignment horizontal="center" wrapText="1"/>
    </xf>
    <xf numFmtId="0" fontId="125" fillId="17" borderId="3" xfId="0" applyFont="1" applyFill="1" applyBorder="1" applyAlignment="1">
      <alignment horizontal="center" wrapText="1"/>
    </xf>
    <xf numFmtId="0" fontId="125" fillId="17" borderId="10" xfId="0" applyFont="1" applyFill="1" applyBorder="1" applyAlignment="1">
      <alignment horizontal="center" wrapText="1"/>
    </xf>
    <xf numFmtId="41" fontId="155" fillId="13" borderId="9" xfId="0" applyNumberFormat="1" applyFont="1" applyFill="1" applyBorder="1" applyAlignment="1">
      <alignment horizontal="center" wrapText="1"/>
    </xf>
    <xf numFmtId="41" fontId="155" fillId="13" borderId="3" xfId="0" applyNumberFormat="1" applyFont="1" applyFill="1" applyBorder="1" applyAlignment="1">
      <alignment horizontal="center" wrapText="1"/>
    </xf>
    <xf numFmtId="41" fontId="155" fillId="13" borderId="10" xfId="0" applyNumberFormat="1" applyFont="1" applyFill="1" applyBorder="1" applyAlignment="1">
      <alignment horizontal="center" wrapText="1"/>
    </xf>
    <xf numFmtId="0" fontId="156" fillId="13" borderId="3" xfId="0" applyFont="1" applyFill="1" applyBorder="1" applyAlignment="1">
      <alignment horizontal="center" wrapText="1"/>
    </xf>
    <xf numFmtId="0" fontId="156" fillId="13" borderId="10" xfId="0" applyFont="1" applyFill="1" applyBorder="1" applyAlignment="1">
      <alignment horizontal="center" wrapText="1"/>
    </xf>
    <xf numFmtId="41" fontId="155" fillId="13" borderId="9" xfId="0" applyNumberFormat="1" applyFont="1" applyFill="1" applyBorder="1" applyAlignment="1">
      <alignment horizontal="left" wrapText="1"/>
    </xf>
    <xf numFmtId="0" fontId="156" fillId="13" borderId="3" xfId="0" applyFont="1" applyFill="1" applyBorder="1" applyAlignment="1">
      <alignment horizontal="left" wrapText="1"/>
    </xf>
    <xf numFmtId="0" fontId="156" fillId="13" borderId="10" xfId="0" applyFont="1" applyFill="1" applyBorder="1" applyAlignment="1">
      <alignment horizontal="left" wrapText="1"/>
    </xf>
    <xf numFmtId="41" fontId="121" fillId="8" borderId="3" xfId="0" applyNumberFormat="1" applyFont="1" applyFill="1" applyBorder="1" applyAlignment="1">
      <alignment horizontal="center" wrapText="1"/>
    </xf>
    <xf numFmtId="41" fontId="121" fillId="8" borderId="10" xfId="0" applyNumberFormat="1" applyFont="1" applyFill="1" applyBorder="1" applyAlignment="1">
      <alignment horizontal="center" wrapText="1"/>
    </xf>
    <xf numFmtId="0" fontId="116" fillId="13" borderId="9" xfId="0" applyFont="1" applyFill="1" applyBorder="1" applyAlignment="1">
      <alignment vertical="top" wrapText="1"/>
    </xf>
    <xf numFmtId="0" fontId="116" fillId="13" borderId="3" xfId="0" applyFont="1" applyFill="1" applyBorder="1" applyAlignment="1">
      <alignment vertical="top" wrapText="1"/>
    </xf>
    <xf numFmtId="0" fontId="116" fillId="13" borderId="10" xfId="0" applyFont="1" applyFill="1" applyBorder="1" applyAlignment="1">
      <alignment vertical="top" wrapText="1"/>
    </xf>
    <xf numFmtId="0" fontId="119" fillId="7" borderId="9" xfId="0" applyFont="1" applyFill="1" applyBorder="1" applyAlignment="1">
      <alignment vertical="top" wrapText="1"/>
    </xf>
    <xf numFmtId="0" fontId="119" fillId="7" borderId="3" xfId="0" applyFont="1" applyFill="1" applyBorder="1" applyAlignment="1">
      <alignment vertical="top" wrapText="1"/>
    </xf>
    <xf numFmtId="0" fontId="119" fillId="7" borderId="10" xfId="0" applyFont="1" applyFill="1" applyBorder="1" applyAlignment="1">
      <alignment vertical="top" wrapText="1"/>
    </xf>
    <xf numFmtId="41" fontId="121" fillId="8" borderId="2" xfId="0" applyNumberFormat="1" applyFont="1" applyFill="1" applyBorder="1" applyAlignment="1">
      <alignment horizontal="center"/>
    </xf>
    <xf numFmtId="0" fontId="125" fillId="8" borderId="2" xfId="0" applyFont="1" applyFill="1" applyBorder="1"/>
    <xf numFmtId="41" fontId="155" fillId="13" borderId="2" xfId="0" applyNumberFormat="1" applyFont="1" applyFill="1" applyBorder="1" applyAlignment="1">
      <alignment horizontal="center"/>
    </xf>
    <xf numFmtId="0" fontId="156" fillId="13" borderId="2" xfId="0" applyFont="1" applyFill="1" applyBorder="1"/>
    <xf numFmtId="0" fontId="119" fillId="0" borderId="2" xfId="0" applyFont="1" applyBorder="1" applyAlignment="1">
      <alignment vertical="top" wrapText="1"/>
    </xf>
    <xf numFmtId="0" fontId="119" fillId="0" borderId="9" xfId="0" applyFont="1" applyBorder="1" applyAlignment="1">
      <alignment vertical="top" wrapText="1"/>
    </xf>
    <xf numFmtId="0" fontId="119" fillId="0" borderId="3" xfId="0" applyFont="1" applyBorder="1" applyAlignment="1">
      <alignment vertical="top"/>
    </xf>
    <xf numFmtId="0" fontId="119" fillId="0" borderId="10" xfId="0" applyFont="1" applyBorder="1" applyAlignment="1">
      <alignment vertical="top"/>
    </xf>
    <xf numFmtId="0" fontId="119" fillId="6" borderId="2" xfId="0" applyFont="1" applyFill="1" applyBorder="1" applyAlignment="1">
      <alignment vertical="top" wrapText="1"/>
    </xf>
    <xf numFmtId="0" fontId="119" fillId="17" borderId="9" xfId="0" applyFont="1" applyFill="1" applyBorder="1" applyAlignment="1">
      <alignment vertical="top" wrapText="1"/>
    </xf>
    <xf numFmtId="0" fontId="119" fillId="17" borderId="3" xfId="0" applyFont="1" applyFill="1" applyBorder="1" applyAlignment="1">
      <alignment vertical="top" wrapText="1"/>
    </xf>
    <xf numFmtId="0" fontId="119" fillId="17" borderId="10" xfId="0" applyFont="1" applyFill="1" applyBorder="1" applyAlignment="1">
      <alignment vertical="top" wrapText="1"/>
    </xf>
    <xf numFmtId="0" fontId="116" fillId="13" borderId="2" xfId="0" applyFont="1" applyFill="1" applyBorder="1" applyAlignment="1">
      <alignment vertical="top"/>
    </xf>
    <xf numFmtId="41" fontId="121" fillId="8" borderId="21" xfId="0" applyNumberFormat="1" applyFont="1" applyFill="1" applyBorder="1" applyAlignment="1">
      <alignment horizontal="center" vertical="top" wrapText="1"/>
    </xf>
    <xf numFmtId="0" fontId="125" fillId="8" borderId="22" xfId="0" applyFont="1" applyFill="1" applyBorder="1" applyAlignment="1">
      <alignment horizontal="center" vertical="top" wrapText="1"/>
    </xf>
    <xf numFmtId="0" fontId="125" fillId="8" borderId="23" xfId="0" applyFont="1" applyFill="1" applyBorder="1" applyAlignment="1">
      <alignment horizontal="center" vertical="top" wrapText="1"/>
    </xf>
    <xf numFmtId="41" fontId="121" fillId="13" borderId="2" xfId="0" applyNumberFormat="1" applyFont="1" applyFill="1" applyBorder="1" applyAlignment="1">
      <alignment horizontal="center" vertical="top" wrapText="1"/>
    </xf>
    <xf numFmtId="0" fontId="125" fillId="13" borderId="2" xfId="0" applyFont="1" applyFill="1" applyBorder="1" applyAlignment="1">
      <alignment horizontal="center" vertical="top" wrapText="1"/>
    </xf>
    <xf numFmtId="41" fontId="121" fillId="0" borderId="9" xfId="0" applyNumberFormat="1" applyFont="1" applyBorder="1" applyAlignment="1">
      <alignment horizontal="center" wrapText="1"/>
    </xf>
    <xf numFmtId="0" fontId="125" fillId="0" borderId="3" xfId="0" applyFont="1" applyBorder="1" applyAlignment="1">
      <alignment horizontal="center" wrapText="1"/>
    </xf>
    <xf numFmtId="0" fontId="125" fillId="0" borderId="10" xfId="0" applyFont="1" applyBorder="1" applyAlignment="1">
      <alignment horizontal="center" wrapText="1"/>
    </xf>
    <xf numFmtId="41" fontId="121" fillId="12" borderId="2" xfId="0" applyNumberFormat="1" applyFont="1" applyFill="1" applyBorder="1" applyAlignment="1">
      <alignment horizontal="center" vertical="top" wrapText="1"/>
    </xf>
    <xf numFmtId="0" fontId="125" fillId="12" borderId="2" xfId="0" applyFont="1" applyFill="1" applyBorder="1" applyAlignment="1">
      <alignment horizontal="center" vertical="top" wrapText="1"/>
    </xf>
    <xf numFmtId="41" fontId="116" fillId="0" borderId="0" xfId="0" applyNumberFormat="1" applyFont="1" applyAlignment="1">
      <alignment horizontal="left" wrapText="1"/>
    </xf>
    <xf numFmtId="0" fontId="119" fillId="0" borderId="2" xfId="0" applyFont="1" applyBorder="1" applyAlignment="1">
      <alignment vertical="top"/>
    </xf>
    <xf numFmtId="0" fontId="119" fillId="0" borderId="3" xfId="0" applyFont="1" applyBorder="1" applyAlignment="1">
      <alignment vertical="top" wrapText="1"/>
    </xf>
    <xf numFmtId="0" fontId="119" fillId="0" borderId="10" xfId="0" applyFont="1" applyBorder="1" applyAlignment="1">
      <alignment vertical="top" wrapText="1"/>
    </xf>
    <xf numFmtId="0" fontId="125" fillId="8" borderId="2" xfId="0" applyFont="1" applyFill="1" applyBorder="1" applyAlignment="1">
      <alignment vertical="top" wrapText="1"/>
    </xf>
    <xf numFmtId="41" fontId="121" fillId="8" borderId="17" xfId="0" applyNumberFormat="1" applyFont="1" applyFill="1" applyBorder="1" applyAlignment="1">
      <alignment horizontal="center" vertical="top"/>
    </xf>
    <xf numFmtId="0" fontId="125" fillId="8" borderId="16" xfId="0" applyFont="1" applyFill="1" applyBorder="1" applyAlignment="1">
      <alignment vertical="top"/>
    </xf>
    <xf numFmtId="0" fontId="125" fillId="8" borderId="18" xfId="0" applyFont="1" applyFill="1" applyBorder="1" applyAlignment="1">
      <alignment vertical="top"/>
    </xf>
    <xf numFmtId="0" fontId="116" fillId="0" borderId="0" xfId="0" applyFont="1" applyAlignment="1">
      <alignment horizontal="left" vertical="top" wrapText="1"/>
    </xf>
    <xf numFmtId="41" fontId="121" fillId="8" borderId="17" xfId="0" applyNumberFormat="1" applyFont="1" applyFill="1" applyBorder="1" applyAlignment="1">
      <alignment horizontal="center" vertical="top" wrapText="1"/>
    </xf>
    <xf numFmtId="0" fontId="125" fillId="8" borderId="16" xfId="0" applyFont="1" applyFill="1" applyBorder="1" applyAlignment="1">
      <alignment vertical="top" wrapText="1"/>
    </xf>
    <xf numFmtId="0" fontId="125" fillId="8" borderId="18" xfId="0" applyFont="1" applyFill="1" applyBorder="1" applyAlignment="1">
      <alignment vertical="top" wrapText="1"/>
    </xf>
    <xf numFmtId="41" fontId="121" fillId="13" borderId="9" xfId="0" applyNumberFormat="1" applyFont="1" applyFill="1" applyBorder="1" applyAlignment="1">
      <alignment horizontal="center" vertical="top" wrapText="1"/>
    </xf>
    <xf numFmtId="41" fontId="121" fillId="13" borderId="3" xfId="0" applyNumberFormat="1" applyFont="1" applyFill="1" applyBorder="1" applyAlignment="1">
      <alignment horizontal="center" vertical="top" wrapText="1"/>
    </xf>
    <xf numFmtId="41" fontId="121" fillId="13" borderId="10" xfId="0" applyNumberFormat="1" applyFont="1" applyFill="1" applyBorder="1" applyAlignment="1">
      <alignment horizontal="center" vertical="top" wrapText="1"/>
    </xf>
    <xf numFmtId="41" fontId="121" fillId="8" borderId="9" xfId="0" applyNumberFormat="1" applyFont="1" applyFill="1" applyBorder="1" applyAlignment="1">
      <alignment horizontal="center" vertical="top" wrapText="1"/>
    </xf>
    <xf numFmtId="0" fontId="125" fillId="8" borderId="3" xfId="0" applyFont="1" applyFill="1" applyBorder="1" applyAlignment="1">
      <alignment vertical="top" wrapText="1"/>
    </xf>
    <xf numFmtId="0" fontId="125" fillId="8" borderId="10" xfId="0" applyFont="1" applyFill="1" applyBorder="1" applyAlignment="1">
      <alignment vertical="top" wrapText="1"/>
    </xf>
    <xf numFmtId="41" fontId="121" fillId="13" borderId="2" xfId="0" applyNumberFormat="1" applyFont="1" applyFill="1" applyBorder="1" applyAlignment="1">
      <alignment horizontal="center"/>
    </xf>
    <xf numFmtId="0" fontId="125" fillId="13" borderId="2" xfId="0" applyFont="1" applyFill="1" applyBorder="1"/>
    <xf numFmtId="0" fontId="125" fillId="8" borderId="3" xfId="0" applyFont="1" applyFill="1" applyBorder="1" applyAlignment="1">
      <alignment horizontal="center" vertical="top" wrapText="1"/>
    </xf>
    <xf numFmtId="0" fontId="125" fillId="8" borderId="10" xfId="0" applyFont="1" applyFill="1" applyBorder="1" applyAlignment="1">
      <alignment horizontal="center" vertical="top" wrapText="1"/>
    </xf>
    <xf numFmtId="0" fontId="119" fillId="6" borderId="9" xfId="0" applyFont="1" applyFill="1" applyBorder="1" applyAlignment="1">
      <alignment vertical="top" wrapText="1"/>
    </xf>
    <xf numFmtId="0" fontId="119" fillId="6" borderId="3" xfId="0" applyFont="1" applyFill="1" applyBorder="1" applyAlignment="1">
      <alignment vertical="top" wrapText="1"/>
    </xf>
    <xf numFmtId="0" fontId="119" fillId="6" borderId="10" xfId="0" applyFont="1" applyFill="1" applyBorder="1" applyAlignment="1">
      <alignment vertical="top" wrapText="1"/>
    </xf>
    <xf numFmtId="41" fontId="121" fillId="12" borderId="9" xfId="0" applyNumberFormat="1" applyFont="1" applyFill="1" applyBorder="1" applyAlignment="1">
      <alignment horizontal="center" vertical="top" wrapText="1"/>
    </xf>
    <xf numFmtId="0" fontId="125" fillId="12" borderId="3" xfId="0" applyFont="1" applyFill="1" applyBorder="1" applyAlignment="1">
      <alignment horizontal="center" vertical="top" wrapText="1"/>
    </xf>
    <xf numFmtId="0" fontId="125" fillId="12" borderId="10" xfId="0" applyFont="1" applyFill="1" applyBorder="1" applyAlignment="1">
      <alignment horizontal="center" vertical="top" wrapText="1"/>
    </xf>
    <xf numFmtId="0" fontId="116" fillId="13" borderId="17" xfId="0" applyFont="1" applyFill="1" applyBorder="1" applyAlignment="1">
      <alignment vertical="top" wrapText="1"/>
    </xf>
    <xf numFmtId="0" fontId="116" fillId="13" borderId="16" xfId="0" applyFont="1" applyFill="1" applyBorder="1" applyAlignment="1">
      <alignment vertical="top" wrapText="1"/>
    </xf>
    <xf numFmtId="0" fontId="116" fillId="13" borderId="18" xfId="0" applyFont="1" applyFill="1" applyBorder="1" applyAlignment="1">
      <alignment vertical="top" wrapText="1"/>
    </xf>
    <xf numFmtId="0" fontId="119" fillId="0" borderId="21" xfId="0" applyFont="1" applyBorder="1" applyAlignment="1">
      <alignment vertical="top" wrapText="1"/>
    </xf>
    <xf numFmtId="0" fontId="119" fillId="0" borderId="22" xfId="0" applyFont="1" applyBorder="1" applyAlignment="1">
      <alignment vertical="top" wrapText="1"/>
    </xf>
    <xf numFmtId="0" fontId="119" fillId="0" borderId="23" xfId="0" applyFont="1" applyBorder="1" applyAlignment="1">
      <alignment vertical="top" wrapText="1"/>
    </xf>
    <xf numFmtId="0" fontId="119" fillId="0" borderId="14" xfId="0" applyFont="1" applyBorder="1" applyAlignment="1">
      <alignment vertical="top" wrapText="1"/>
    </xf>
    <xf numFmtId="0" fontId="116" fillId="0" borderId="9" xfId="0" applyFont="1" applyBorder="1" applyAlignment="1">
      <alignment vertical="top"/>
    </xf>
    <xf numFmtId="0" fontId="116" fillId="0" borderId="3" xfId="0" applyFont="1" applyBorder="1" applyAlignment="1">
      <alignment vertical="top"/>
    </xf>
    <xf numFmtId="0" fontId="116" fillId="0" borderId="10" xfId="0" applyFont="1" applyBorder="1" applyAlignment="1">
      <alignment vertical="top"/>
    </xf>
    <xf numFmtId="41" fontId="121" fillId="8" borderId="14" xfId="0" applyNumberFormat="1" applyFont="1" applyFill="1" applyBorder="1" applyAlignment="1">
      <alignment horizontal="center" vertical="top" wrapText="1"/>
    </xf>
    <xf numFmtId="0" fontId="125" fillId="8" borderId="14" xfId="0" applyFont="1" applyFill="1" applyBorder="1" applyAlignment="1">
      <alignment horizontal="center" vertical="top" wrapText="1"/>
    </xf>
    <xf numFmtId="41" fontId="121" fillId="13" borderId="17" xfId="0" applyNumberFormat="1" applyFont="1" applyFill="1" applyBorder="1" applyAlignment="1">
      <alignment horizontal="center" wrapText="1"/>
    </xf>
    <xf numFmtId="0" fontId="125" fillId="13" borderId="16" xfId="0" applyFont="1" applyFill="1" applyBorder="1" applyAlignment="1">
      <alignment horizontal="center" wrapText="1"/>
    </xf>
    <xf numFmtId="0" fontId="125" fillId="13" borderId="18" xfId="0" applyFont="1" applyFill="1" applyBorder="1" applyAlignment="1">
      <alignment horizontal="center" wrapText="1"/>
    </xf>
    <xf numFmtId="41" fontId="121" fillId="8" borderId="2" xfId="0" applyNumberFormat="1" applyFont="1" applyFill="1" applyBorder="1" applyAlignment="1">
      <alignment horizontal="center" vertical="top"/>
    </xf>
    <xf numFmtId="0" fontId="125" fillId="8" borderId="2" xfId="0" applyFont="1" applyFill="1" applyBorder="1" applyAlignment="1">
      <alignment vertical="top"/>
    </xf>
    <xf numFmtId="0" fontId="116" fillId="13" borderId="9" xfId="0" applyFont="1" applyFill="1" applyBorder="1" applyAlignment="1">
      <alignment vertical="top"/>
    </xf>
    <xf numFmtId="0" fontId="116" fillId="13" borderId="3" xfId="0" applyFont="1" applyFill="1" applyBorder="1" applyAlignment="1">
      <alignment vertical="top"/>
    </xf>
    <xf numFmtId="0" fontId="116" fillId="13" borderId="10" xfId="0" applyFont="1" applyFill="1" applyBorder="1" applyAlignment="1">
      <alignment vertical="top"/>
    </xf>
    <xf numFmtId="41" fontId="121" fillId="13" borderId="2" xfId="0" applyNumberFormat="1" applyFont="1" applyFill="1" applyBorder="1" applyAlignment="1">
      <alignment horizontal="center" vertical="top"/>
    </xf>
    <xf numFmtId="0" fontId="125" fillId="13" borderId="2" xfId="0" applyFont="1" applyFill="1" applyBorder="1" applyAlignment="1">
      <alignment vertical="top"/>
    </xf>
    <xf numFmtId="0" fontId="125" fillId="13" borderId="3" xfId="0" applyFont="1" applyFill="1" applyBorder="1" applyAlignment="1">
      <alignment horizontal="center" vertical="top" wrapText="1"/>
    </xf>
    <xf numFmtId="0" fontId="125" fillId="13" borderId="10" xfId="0" applyFont="1" applyFill="1" applyBorder="1" applyAlignment="1">
      <alignment horizontal="center" vertical="top" wrapText="1"/>
    </xf>
    <xf numFmtId="180" fontId="24" fillId="2" borderId="9" xfId="0" applyNumberFormat="1" applyFont="1" applyFill="1" applyBorder="1" applyAlignment="1" applyProtection="1">
      <alignment horizontal="left"/>
      <protection locked="0"/>
    </xf>
    <xf numFmtId="180" fontId="24" fillId="2" borderId="3" xfId="0" applyNumberFormat="1" applyFont="1" applyFill="1" applyBorder="1" applyAlignment="1" applyProtection="1">
      <alignment horizontal="left"/>
      <protection locked="0"/>
    </xf>
    <xf numFmtId="180" fontId="24" fillId="2" borderId="10" xfId="0" applyNumberFormat="1" applyFont="1" applyFill="1" applyBorder="1" applyAlignment="1" applyProtection="1">
      <alignment horizontal="left"/>
      <protection locked="0"/>
    </xf>
    <xf numFmtId="0" fontId="9" fillId="0" borderId="0" xfId="0" applyFont="1" applyAlignment="1">
      <alignment horizontal="center" wrapText="1"/>
    </xf>
    <xf numFmtId="0" fontId="0" fillId="0" borderId="0" xfId="0" applyAlignment="1">
      <alignment wrapText="1"/>
    </xf>
    <xf numFmtId="0" fontId="0" fillId="0" borderId="5" xfId="0" applyBorder="1" applyAlignment="1">
      <alignment wrapText="1"/>
    </xf>
    <xf numFmtId="0" fontId="8" fillId="0" borderId="9" xfId="0" applyFont="1" applyBorder="1" applyAlignment="1">
      <alignment horizontal="left"/>
    </xf>
    <xf numFmtId="0" fontId="8" fillId="0" borderId="3" xfId="0" applyFont="1" applyBorder="1" applyAlignment="1">
      <alignment horizontal="left"/>
    </xf>
    <xf numFmtId="0" fontId="8" fillId="0" borderId="10" xfId="0" applyFont="1" applyBorder="1" applyAlignment="1">
      <alignment horizontal="left"/>
    </xf>
    <xf numFmtId="0" fontId="8" fillId="0" borderId="9" xfId="0" applyFont="1" applyBorder="1" applyAlignment="1">
      <alignment horizontal="left" wrapText="1"/>
    </xf>
    <xf numFmtId="0" fontId="8" fillId="0" borderId="3" xfId="0" applyFont="1" applyBorder="1" applyAlignment="1">
      <alignment horizontal="left" wrapText="1"/>
    </xf>
    <xf numFmtId="0" fontId="8" fillId="0" borderId="10" xfId="0" applyFont="1" applyBorder="1" applyAlignment="1">
      <alignment horizontal="left" wrapText="1"/>
    </xf>
    <xf numFmtId="0" fontId="9" fillId="0" borderId="5" xfId="0" applyFont="1" applyBorder="1" applyAlignment="1">
      <alignment horizontal="center"/>
    </xf>
    <xf numFmtId="0" fontId="0" fillId="0" borderId="5" xfId="0" applyBorder="1"/>
    <xf numFmtId="0" fontId="34" fillId="0" borderId="5" xfId="0" applyFont="1" applyBorder="1" applyAlignment="1">
      <alignment horizontal="center"/>
    </xf>
    <xf numFmtId="0" fontId="8" fillId="2" borderId="9"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24" fillId="4" borderId="9" xfId="0" quotePrefix="1" applyFont="1" applyFill="1" applyBorder="1" applyAlignment="1">
      <alignment horizontal="left" vertical="top" wrapText="1"/>
    </xf>
    <xf numFmtId="0" fontId="51" fillId="4" borderId="3" xfId="0" applyFont="1" applyFill="1" applyBorder="1"/>
    <xf numFmtId="0" fontId="51" fillId="4" borderId="10" xfId="0" applyFont="1" applyFill="1" applyBorder="1"/>
    <xf numFmtId="0" fontId="24" fillId="2" borderId="9" xfId="0" applyFont="1" applyFill="1" applyBorder="1" applyAlignment="1" applyProtection="1">
      <alignment horizontal="left" vertical="top" wrapText="1"/>
      <protection locked="0"/>
    </xf>
    <xf numFmtId="0" fontId="24" fillId="2" borderId="3" xfId="0" applyFont="1"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0" fontId="24" fillId="0" borderId="3" xfId="0" applyFont="1" applyBorder="1" applyAlignment="1" applyProtection="1">
      <alignment vertical="top" wrapText="1"/>
      <protection locked="0"/>
    </xf>
    <xf numFmtId="0" fontId="24" fillId="0" borderId="10" xfId="0" applyFont="1" applyBorder="1" applyAlignment="1" applyProtection="1">
      <alignment vertical="top" wrapText="1"/>
      <protection locked="0"/>
    </xf>
    <xf numFmtId="181" fontId="24" fillId="2" borderId="9" xfId="0" applyNumberFormat="1" applyFont="1" applyFill="1" applyBorder="1" applyAlignment="1" applyProtection="1">
      <alignment horizontal="left" vertical="top" wrapText="1"/>
      <protection locked="0"/>
    </xf>
    <xf numFmtId="181" fontId="24" fillId="0" borderId="3" xfId="0" applyNumberFormat="1" applyFont="1" applyBorder="1" applyAlignment="1" applyProtection="1">
      <alignment vertical="top" wrapText="1"/>
      <protection locked="0"/>
    </xf>
    <xf numFmtId="181" fontId="24" fillId="0" borderId="10" xfId="0" applyNumberFormat="1" applyFont="1" applyBorder="1" applyAlignment="1" applyProtection="1">
      <alignment vertical="top" wrapText="1"/>
      <protection locked="0"/>
    </xf>
    <xf numFmtId="49" fontId="60" fillId="2" borderId="9" xfId="8" applyNumberFormat="1" applyFont="1" applyFill="1" applyBorder="1" applyAlignment="1" applyProtection="1">
      <alignment horizontal="left" vertical="top" wrapText="1"/>
      <protection locked="0"/>
    </xf>
    <xf numFmtId="49" fontId="9" fillId="0" borderId="3" xfId="0" applyNumberFormat="1" applyFont="1" applyBorder="1" applyAlignment="1" applyProtection="1">
      <alignment vertical="top" wrapText="1"/>
      <protection locked="0"/>
    </xf>
    <xf numFmtId="49" fontId="9" fillId="0" borderId="10" xfId="0" applyNumberFormat="1" applyFont="1" applyBorder="1" applyAlignment="1" applyProtection="1">
      <alignment vertical="top" wrapText="1"/>
      <protection locked="0"/>
    </xf>
    <xf numFmtId="0" fontId="34" fillId="0" borderId="17" xfId="0" applyFont="1" applyBorder="1" applyAlignment="1">
      <alignment horizontal="left" vertical="top" wrapText="1"/>
    </xf>
    <xf numFmtId="0" fontId="7" fillId="0" borderId="16" xfId="0" applyFont="1" applyBorder="1" applyAlignment="1">
      <alignment wrapText="1"/>
    </xf>
    <xf numFmtId="0" fontId="7" fillId="0" borderId="18" xfId="0" applyFont="1" applyBorder="1" applyAlignment="1">
      <alignment wrapText="1"/>
    </xf>
    <xf numFmtId="0" fontId="7" fillId="0" borderId="19" xfId="0" applyFont="1" applyBorder="1" applyAlignment="1">
      <alignment wrapText="1"/>
    </xf>
    <xf numFmtId="0" fontId="7" fillId="0" borderId="0" xfId="0" applyFont="1" applyAlignment="1">
      <alignment wrapText="1"/>
    </xf>
    <xf numFmtId="0" fontId="7" fillId="0" borderId="20"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0" fillId="0" borderId="3"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8" fillId="0" borderId="0" xfId="0" applyFont="1" applyAlignment="1">
      <alignment horizontal="left" vertical="top"/>
    </xf>
    <xf numFmtId="0" fontId="24" fillId="0" borderId="9" xfId="38" applyFont="1" applyBorder="1"/>
    <xf numFmtId="0" fontId="25" fillId="0" borderId="3" xfId="38" applyFont="1" applyBorder="1"/>
    <xf numFmtId="0" fontId="25" fillId="0" borderId="10" xfId="38" applyFont="1" applyBorder="1"/>
    <xf numFmtId="0" fontId="24" fillId="4" borderId="2" xfId="74" applyFont="1" applyFill="1" applyBorder="1" applyAlignment="1">
      <alignment horizontal="left"/>
    </xf>
    <xf numFmtId="0" fontId="25" fillId="4" borderId="2" xfId="38" applyFont="1" applyFill="1" applyBorder="1"/>
    <xf numFmtId="38" fontId="24" fillId="4" borderId="9" xfId="74" applyNumberFormat="1" applyFont="1" applyFill="1" applyBorder="1" applyAlignment="1">
      <alignment horizontal="left" wrapText="1"/>
    </xf>
    <xf numFmtId="0" fontId="25" fillId="4" borderId="10" xfId="38" applyFont="1" applyFill="1" applyBorder="1" applyAlignment="1">
      <alignment wrapText="1"/>
    </xf>
    <xf numFmtId="38" fontId="24" fillId="2" borderId="2" xfId="74" applyNumberFormat="1" applyFont="1" applyFill="1" applyBorder="1" applyAlignment="1" applyProtection="1">
      <alignment horizontal="left"/>
      <protection locked="0"/>
    </xf>
    <xf numFmtId="0" fontId="25" fillId="0" borderId="2" xfId="38" applyFont="1" applyBorder="1" applyProtection="1">
      <protection locked="0"/>
    </xf>
    <xf numFmtId="0" fontId="35" fillId="6" borderId="0" xfId="38" applyFont="1" applyFill="1" applyAlignment="1">
      <alignment horizontal="center"/>
    </xf>
    <xf numFmtId="181" fontId="24" fillId="2" borderId="2" xfId="74" applyNumberFormat="1" applyFont="1" applyFill="1" applyBorder="1" applyAlignment="1" applyProtection="1">
      <alignment horizontal="left"/>
      <protection locked="0"/>
    </xf>
    <xf numFmtId="181" fontId="25" fillId="0" borderId="2" xfId="38" applyNumberFormat="1" applyFont="1" applyBorder="1" applyProtection="1">
      <protection locked="0"/>
    </xf>
    <xf numFmtId="180" fontId="24" fillId="2" borderId="2" xfId="74" applyNumberFormat="1" applyFont="1" applyFill="1" applyBorder="1" applyAlignment="1" applyProtection="1">
      <alignment horizontal="left"/>
      <protection locked="0"/>
    </xf>
    <xf numFmtId="180" fontId="25" fillId="0" borderId="2" xfId="38" applyNumberFormat="1" applyFont="1" applyBorder="1" applyProtection="1">
      <protection locked="0"/>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2" xfId="0" applyFont="1" applyBorder="1" applyAlignment="1">
      <alignment horizontal="center" wrapText="1"/>
    </xf>
    <xf numFmtId="0" fontId="25" fillId="2" borderId="17" xfId="0" applyFont="1" applyFill="1" applyBorder="1" applyAlignment="1" applyProtection="1">
      <alignment horizontal="left" vertical="top" wrapText="1"/>
      <protection locked="0"/>
    </xf>
    <xf numFmtId="0" fontId="25" fillId="2" borderId="16" xfId="0" applyFont="1" applyFill="1" applyBorder="1" applyAlignment="1" applyProtection="1">
      <alignment horizontal="left" vertical="top" wrapText="1"/>
      <protection locked="0"/>
    </xf>
    <xf numFmtId="0" fontId="25" fillId="2" borderId="18" xfId="0" applyFont="1" applyFill="1" applyBorder="1" applyAlignment="1" applyProtection="1">
      <alignment horizontal="left" vertical="top" wrapText="1"/>
      <protection locked="0"/>
    </xf>
    <xf numFmtId="0" fontId="25" fillId="2" borderId="19" xfId="0" applyFont="1" applyFill="1" applyBorder="1" applyAlignment="1" applyProtection="1">
      <alignment horizontal="left" vertical="top" wrapText="1"/>
      <protection locked="0"/>
    </xf>
    <xf numFmtId="0" fontId="25" fillId="2" borderId="0" xfId="0" applyFont="1" applyFill="1" applyAlignment="1" applyProtection="1">
      <alignment horizontal="left" vertical="top" wrapText="1"/>
      <protection locked="0"/>
    </xf>
    <xf numFmtId="0" fontId="25" fillId="2" borderId="20" xfId="0" applyFont="1" applyFill="1" applyBorder="1" applyAlignment="1" applyProtection="1">
      <alignment horizontal="left" vertical="top" wrapText="1"/>
      <protection locked="0"/>
    </xf>
    <xf numFmtId="0" fontId="25" fillId="2" borderId="11" xfId="0" applyFont="1" applyFill="1" applyBorder="1" applyAlignment="1" applyProtection="1">
      <alignment horizontal="left" vertical="top" wrapText="1"/>
      <protection locked="0"/>
    </xf>
    <xf numFmtId="0" fontId="25" fillId="2" borderId="12" xfId="0" applyFont="1" applyFill="1" applyBorder="1" applyAlignment="1" applyProtection="1">
      <alignment horizontal="left" vertical="top" wrapText="1"/>
      <protection locked="0"/>
    </xf>
    <xf numFmtId="0" fontId="25" fillId="2" borderId="13" xfId="0" applyFont="1" applyFill="1" applyBorder="1" applyAlignment="1" applyProtection="1">
      <alignment horizontal="left" vertical="top" wrapText="1"/>
      <protection locked="0"/>
    </xf>
    <xf numFmtId="0" fontId="25" fillId="5" borderId="9" xfId="0" applyFont="1" applyFill="1" applyBorder="1" applyAlignment="1" applyProtection="1">
      <alignment horizontal="left" wrapText="1"/>
      <protection locked="0"/>
    </xf>
    <xf numFmtId="0" fontId="25" fillId="5" borderId="10" xfId="0" applyFont="1" applyFill="1" applyBorder="1" applyAlignment="1" applyProtection="1">
      <alignment horizontal="left" wrapText="1"/>
      <protection locked="0"/>
    </xf>
    <xf numFmtId="0" fontId="25" fillId="0" borderId="0" xfId="10" applyNumberFormat="1" applyFont="1" applyAlignment="1">
      <alignment horizontal="right"/>
    </xf>
    <xf numFmtId="0" fontId="0" fillId="0" borderId="0" xfId="0" applyAlignment="1">
      <alignment horizontal="right"/>
    </xf>
    <xf numFmtId="0" fontId="25" fillId="2" borderId="9" xfId="10" applyNumberFormat="1" applyFont="1" applyFill="1" applyBorder="1" applyAlignment="1" applyProtection="1">
      <alignment horizontal="left" wrapText="1"/>
      <protection locked="0"/>
    </xf>
    <xf numFmtId="0" fontId="25" fillId="2" borderId="3" xfId="10" applyNumberFormat="1" applyFont="1" applyFill="1" applyBorder="1" applyAlignment="1" applyProtection="1">
      <alignment horizontal="left" wrapText="1"/>
      <protection locked="0"/>
    </xf>
    <xf numFmtId="0" fontId="25" fillId="2" borderId="10" xfId="10" applyNumberFormat="1" applyFont="1" applyFill="1" applyBorder="1" applyAlignment="1" applyProtection="1">
      <alignment horizontal="left" wrapText="1"/>
      <protection locked="0"/>
    </xf>
    <xf numFmtId="0" fontId="25" fillId="0" borderId="12" xfId="0" applyFont="1" applyBorder="1" applyAlignment="1">
      <alignment horizontal="left" vertical="top" wrapText="1"/>
    </xf>
    <xf numFmtId="0" fontId="25" fillId="2" borderId="17" xfId="0" applyFont="1" applyFill="1" applyBorder="1" applyAlignment="1">
      <alignment vertical="top" wrapText="1"/>
    </xf>
    <xf numFmtId="0" fontId="25" fillId="2" borderId="16" xfId="0" applyFont="1" applyFill="1" applyBorder="1" applyAlignment="1">
      <alignment vertical="top" wrapText="1"/>
    </xf>
    <xf numFmtId="0" fontId="25" fillId="2" borderId="18" xfId="0" applyFont="1" applyFill="1" applyBorder="1" applyAlignment="1">
      <alignment vertical="top" wrapText="1"/>
    </xf>
    <xf numFmtId="14" fontId="25" fillId="2" borderId="9" xfId="0" applyNumberFormat="1" applyFont="1" applyFill="1" applyBorder="1" applyAlignment="1">
      <alignment vertical="top" wrapText="1"/>
    </xf>
    <xf numFmtId="0" fontId="25" fillId="2" borderId="3" xfId="0" applyFont="1" applyFill="1" applyBorder="1" applyAlignment="1">
      <alignment vertical="top" wrapText="1"/>
    </xf>
    <xf numFmtId="0" fontId="25" fillId="2" borderId="10" xfId="0" applyFont="1" applyFill="1" applyBorder="1" applyAlignment="1">
      <alignment vertical="top" wrapText="1"/>
    </xf>
    <xf numFmtId="0" fontId="25" fillId="0" borderId="9" xfId="0" applyFont="1" applyBorder="1" applyAlignment="1">
      <alignment horizontal="center" wrapText="1"/>
    </xf>
    <xf numFmtId="0" fontId="25" fillId="0" borderId="10" xfId="0" applyFont="1" applyBorder="1" applyAlignment="1">
      <alignment horizontal="center" wrapText="1"/>
    </xf>
    <xf numFmtId="0" fontId="25" fillId="0" borderId="9" xfId="10" applyNumberFormat="1" applyFont="1" applyBorder="1" applyAlignment="1">
      <alignment horizontal="left" wrapText="1"/>
    </xf>
    <xf numFmtId="0" fontId="25" fillId="0" borderId="3" xfId="10" applyNumberFormat="1" applyFont="1" applyBorder="1" applyAlignment="1">
      <alignment horizontal="left" wrapText="1"/>
    </xf>
    <xf numFmtId="0" fontId="25" fillId="0" borderId="10" xfId="10" applyNumberFormat="1" applyFont="1" applyBorder="1" applyAlignment="1">
      <alignment horizontal="left" wrapText="1"/>
    </xf>
    <xf numFmtId="0" fontId="25" fillId="2" borderId="9" xfId="0" applyFont="1" applyFill="1" applyBorder="1" applyAlignment="1">
      <alignment vertical="top" wrapText="1"/>
    </xf>
    <xf numFmtId="37" fontId="24" fillId="0" borderId="0" xfId="10" applyFont="1" applyAlignment="1">
      <alignment horizontal="right"/>
    </xf>
    <xf numFmtId="0" fontId="51" fillId="0" borderId="0" xfId="0" applyFont="1" applyAlignment="1">
      <alignment horizontal="right"/>
    </xf>
    <xf numFmtId="0" fontId="25" fillId="5" borderId="9" xfId="10" applyNumberFormat="1" applyFont="1" applyFill="1" applyBorder="1" applyAlignment="1" applyProtection="1">
      <alignment horizontal="left" vertical="top" wrapText="1"/>
      <protection locked="0"/>
    </xf>
    <xf numFmtId="0" fontId="25" fillId="5" borderId="3" xfId="10" applyNumberFormat="1" applyFont="1" applyFill="1" applyBorder="1" applyAlignment="1" applyProtection="1">
      <alignment horizontal="left" vertical="top" wrapText="1"/>
      <protection locked="0"/>
    </xf>
    <xf numFmtId="0" fontId="25" fillId="5" borderId="10" xfId="10" applyNumberFormat="1" applyFont="1" applyFill="1" applyBorder="1" applyAlignment="1" applyProtection="1">
      <alignment horizontal="left" vertical="top" wrapText="1"/>
      <protection locked="0"/>
    </xf>
    <xf numFmtId="0" fontId="24" fillId="0" borderId="2" xfId="0" applyFont="1" applyBorder="1" applyAlignment="1">
      <alignment wrapText="1"/>
    </xf>
    <xf numFmtId="0" fontId="7" fillId="0" borderId="2" xfId="0" applyFont="1" applyBorder="1" applyAlignment="1">
      <alignment wrapText="1"/>
    </xf>
    <xf numFmtId="0" fontId="24" fillId="0" borderId="2" xfId="0" applyFont="1" applyBorder="1"/>
    <xf numFmtId="0" fontId="0" fillId="0" borderId="2" xfId="0" applyBorder="1"/>
    <xf numFmtId="0" fontId="61" fillId="2" borderId="9" xfId="0" applyFont="1" applyFill="1" applyBorder="1" applyAlignment="1" applyProtection="1">
      <alignment horizontal="left" wrapText="1"/>
      <protection locked="0"/>
    </xf>
    <xf numFmtId="0" fontId="62" fillId="2" borderId="3" xfId="0" applyFont="1" applyFill="1" applyBorder="1" applyAlignment="1" applyProtection="1">
      <alignment horizontal="left" wrapText="1"/>
      <protection locked="0"/>
    </xf>
    <xf numFmtId="0" fontId="62" fillId="2" borderId="10" xfId="0" applyFont="1" applyFill="1" applyBorder="1" applyAlignment="1" applyProtection="1">
      <alignment horizontal="left" wrapText="1"/>
      <protection locked="0"/>
    </xf>
    <xf numFmtId="180" fontId="24" fillId="2" borderId="9" xfId="0" applyNumberFormat="1" applyFont="1" applyFill="1" applyBorder="1" applyAlignment="1" applyProtection="1">
      <alignment horizontal="left" wrapText="1"/>
      <protection locked="0"/>
    </xf>
    <xf numFmtId="180" fontId="51" fillId="2" borderId="3" xfId="0" applyNumberFormat="1" applyFont="1" applyFill="1" applyBorder="1" applyAlignment="1" applyProtection="1">
      <alignment horizontal="left" wrapText="1"/>
      <protection locked="0"/>
    </xf>
    <xf numFmtId="180" fontId="51" fillId="2" borderId="10" xfId="0" applyNumberFormat="1" applyFont="1" applyFill="1" applyBorder="1" applyAlignment="1" applyProtection="1">
      <alignment horizontal="left" wrapText="1"/>
      <protection locked="0"/>
    </xf>
    <xf numFmtId="0" fontId="51" fillId="0" borderId="9" xfId="0" applyFont="1" applyBorder="1" applyAlignment="1">
      <alignment horizontal="left" wrapText="1"/>
    </xf>
    <xf numFmtId="0" fontId="51" fillId="0" borderId="3" xfId="0" applyFont="1" applyBorder="1" applyAlignment="1">
      <alignment horizontal="left" wrapText="1"/>
    </xf>
    <xf numFmtId="0" fontId="51" fillId="0" borderId="10" xfId="0" applyFont="1" applyBorder="1" applyAlignment="1">
      <alignment horizontal="left" wrapText="1"/>
    </xf>
    <xf numFmtId="0" fontId="24" fillId="0" borderId="9" xfId="0" applyFont="1" applyBorder="1" applyAlignment="1">
      <alignment horizontal="left" wrapText="1"/>
    </xf>
    <xf numFmtId="0" fontId="24" fillId="2" borderId="9" xfId="0" applyFont="1" applyFill="1" applyBorder="1" applyAlignment="1" applyProtection="1">
      <alignment horizontal="left" wrapText="1"/>
      <protection locked="0"/>
    </xf>
    <xf numFmtId="0" fontId="51" fillId="2" borderId="3" xfId="0" applyFont="1" applyFill="1" applyBorder="1" applyAlignment="1" applyProtection="1">
      <alignment horizontal="left" wrapText="1"/>
      <protection locked="0"/>
    </xf>
    <xf numFmtId="0" fontId="51" fillId="2" borderId="10" xfId="0" applyFont="1" applyFill="1" applyBorder="1" applyAlignment="1" applyProtection="1">
      <alignment horizontal="left" wrapText="1"/>
      <protection locked="0"/>
    </xf>
    <xf numFmtId="181" fontId="24" fillId="2" borderId="9" xfId="0" applyNumberFormat="1" applyFont="1" applyFill="1" applyBorder="1" applyAlignment="1" applyProtection="1">
      <alignment horizontal="left" wrapText="1"/>
      <protection locked="0"/>
    </xf>
    <xf numFmtId="181" fontId="51" fillId="2" borderId="3" xfId="0" applyNumberFormat="1" applyFont="1" applyFill="1" applyBorder="1" applyAlignment="1" applyProtection="1">
      <alignment horizontal="left" wrapText="1"/>
      <protection locked="0"/>
    </xf>
    <xf numFmtId="181" fontId="51" fillId="2" borderId="10" xfId="0" applyNumberFormat="1" applyFont="1" applyFill="1" applyBorder="1" applyAlignment="1" applyProtection="1">
      <alignment horizontal="left" wrapText="1"/>
      <protection locked="0"/>
    </xf>
    <xf numFmtId="0" fontId="100" fillId="0" borderId="9" xfId="141" applyFont="1" applyBorder="1" applyAlignment="1">
      <alignment horizontal="center"/>
    </xf>
    <xf numFmtId="0" fontId="100" fillId="0" borderId="3" xfId="141" applyFont="1" applyBorder="1" applyAlignment="1">
      <alignment horizontal="center"/>
    </xf>
    <xf numFmtId="0" fontId="100" fillId="0" borderId="10" xfId="141" applyFont="1" applyBorder="1" applyAlignment="1">
      <alignment horizontal="center"/>
    </xf>
    <xf numFmtId="0" fontId="63" fillId="0" borderId="9" xfId="142" applyFont="1" applyBorder="1" applyAlignment="1">
      <alignment horizontal="center"/>
    </xf>
    <xf numFmtId="0" fontId="63" fillId="0" borderId="3" xfId="142" applyFont="1" applyBorder="1" applyAlignment="1">
      <alignment horizontal="center"/>
    </xf>
    <xf numFmtId="0" fontId="63" fillId="0" borderId="10" xfId="142" applyFont="1" applyBorder="1" applyAlignment="1">
      <alignment horizontal="center"/>
    </xf>
    <xf numFmtId="0" fontId="63" fillId="0" borderId="17" xfId="142" applyFont="1" applyBorder="1" applyAlignment="1">
      <alignment horizontal="center"/>
    </xf>
    <xf numFmtId="0" fontId="63" fillId="0" borderId="18" xfId="142" applyFont="1" applyBorder="1" applyAlignment="1">
      <alignment horizontal="center"/>
    </xf>
    <xf numFmtId="180" fontId="63" fillId="2" borderId="2" xfId="0" applyNumberFormat="1" applyFont="1" applyFill="1" applyBorder="1" applyAlignment="1" applyProtection="1">
      <alignment horizontal="left" wrapText="1"/>
      <protection locked="0"/>
    </xf>
    <xf numFmtId="0" fontId="63" fillId="0" borderId="2" xfId="0" applyFont="1" applyBorder="1" applyAlignment="1">
      <alignment horizontal="left" wrapText="1"/>
    </xf>
    <xf numFmtId="0" fontId="63" fillId="2" borderId="2" xfId="0" applyFont="1" applyFill="1" applyBorder="1" applyAlignment="1" applyProtection="1">
      <alignment horizontal="left" wrapText="1"/>
      <protection locked="0"/>
    </xf>
    <xf numFmtId="181" fontId="63" fillId="2" borderId="2" xfId="0" applyNumberFormat="1" applyFont="1" applyFill="1" applyBorder="1" applyAlignment="1" applyProtection="1">
      <alignment horizontal="left" wrapText="1"/>
      <protection locked="0"/>
    </xf>
    <xf numFmtId="0" fontId="64" fillId="2" borderId="2" xfId="0" applyFont="1" applyFill="1" applyBorder="1" applyAlignment="1" applyProtection="1">
      <alignment horizontal="left" wrapText="1"/>
      <protection locked="0"/>
    </xf>
    <xf numFmtId="0" fontId="63" fillId="0" borderId="9" xfId="0" applyFont="1" applyBorder="1" applyAlignment="1">
      <alignment horizontal="left" vertical="center" wrapText="1"/>
    </xf>
    <xf numFmtId="0" fontId="63" fillId="0" borderId="3" xfId="0" applyFont="1" applyBorder="1" applyAlignment="1">
      <alignment horizontal="left" vertical="center" wrapText="1"/>
    </xf>
    <xf numFmtId="0" fontId="63" fillId="0" borderId="10" xfId="0" applyFont="1" applyBorder="1" applyAlignment="1">
      <alignment horizontal="left" vertical="center" wrapText="1"/>
    </xf>
    <xf numFmtId="0" fontId="25" fillId="2" borderId="9" xfId="0" applyFont="1" applyFill="1" applyBorder="1" applyAlignment="1" applyProtection="1">
      <alignment horizontal="left" vertical="top" wrapText="1"/>
      <protection locked="0"/>
    </xf>
    <xf numFmtId="0" fontId="25" fillId="2" borderId="3" xfId="0" applyFont="1" applyFill="1" applyBorder="1" applyAlignment="1" applyProtection="1">
      <alignment horizontal="left" vertical="top" wrapText="1"/>
      <protection locked="0"/>
    </xf>
    <xf numFmtId="0" fontId="25" fillId="2" borderId="10" xfId="0" applyFont="1" applyFill="1" applyBorder="1" applyAlignment="1" applyProtection="1">
      <alignment horizontal="left" vertical="top" wrapText="1"/>
      <protection locked="0"/>
    </xf>
    <xf numFmtId="0" fontId="57" fillId="0" borderId="0" xfId="0" applyFont="1" applyAlignment="1">
      <alignment horizontal="right"/>
    </xf>
    <xf numFmtId="0" fontId="59" fillId="0" borderId="0" xfId="0" applyFont="1" applyAlignment="1">
      <alignment horizontal="right"/>
    </xf>
    <xf numFmtId="0" fontId="63" fillId="0" borderId="9" xfId="0" applyFont="1" applyBorder="1" applyAlignment="1">
      <alignment horizontal="left" wrapText="1"/>
    </xf>
    <xf numFmtId="0" fontId="63" fillId="0" borderId="3" xfId="0" applyFont="1" applyBorder="1" applyAlignment="1">
      <alignment horizontal="left" wrapText="1"/>
    </xf>
    <xf numFmtId="0" fontId="63" fillId="0" borderId="10" xfId="0" applyFont="1" applyBorder="1" applyAlignment="1">
      <alignment horizontal="left" wrapText="1"/>
    </xf>
    <xf numFmtId="0" fontId="63" fillId="2" borderId="9" xfId="0" applyFont="1" applyFill="1" applyBorder="1" applyAlignment="1" applyProtection="1">
      <alignment horizontal="left" wrapText="1"/>
      <protection locked="0"/>
    </xf>
    <xf numFmtId="0" fontId="63" fillId="2" borderId="3" xfId="0" applyFont="1" applyFill="1" applyBorder="1" applyAlignment="1" applyProtection="1">
      <alignment horizontal="left" wrapText="1"/>
      <protection locked="0"/>
    </xf>
    <xf numFmtId="0" fontId="63" fillId="2" borderId="10" xfId="0" applyFont="1" applyFill="1" applyBorder="1" applyAlignment="1" applyProtection="1">
      <alignment horizontal="left" wrapText="1"/>
      <protection locked="0"/>
    </xf>
    <xf numFmtId="181" fontId="63" fillId="2" borderId="9" xfId="0" applyNumberFormat="1" applyFont="1" applyFill="1" applyBorder="1" applyAlignment="1" applyProtection="1">
      <alignment horizontal="left" wrapText="1"/>
      <protection locked="0"/>
    </xf>
    <xf numFmtId="181" fontId="63" fillId="2" borderId="3" xfId="0" applyNumberFormat="1" applyFont="1" applyFill="1" applyBorder="1" applyAlignment="1" applyProtection="1">
      <alignment horizontal="left" wrapText="1"/>
      <protection locked="0"/>
    </xf>
    <xf numFmtId="181" fontId="63" fillId="2" borderId="10" xfId="0" applyNumberFormat="1" applyFont="1" applyFill="1" applyBorder="1" applyAlignment="1" applyProtection="1">
      <alignment horizontal="left" wrapText="1"/>
      <protection locked="0"/>
    </xf>
    <xf numFmtId="0" fontId="64" fillId="2" borderId="9" xfId="0" applyFont="1" applyFill="1" applyBorder="1" applyAlignment="1" applyProtection="1">
      <alignment horizontal="left" wrapText="1"/>
      <protection locked="0"/>
    </xf>
    <xf numFmtId="0" fontId="64" fillId="2" borderId="3" xfId="0" applyFont="1" applyFill="1" applyBorder="1" applyAlignment="1" applyProtection="1">
      <alignment horizontal="left" wrapText="1"/>
      <protection locked="0"/>
    </xf>
    <xf numFmtId="0" fontId="64" fillId="2" borderId="10" xfId="0" applyFont="1" applyFill="1" applyBorder="1" applyAlignment="1" applyProtection="1">
      <alignment horizontal="left" wrapText="1"/>
      <protection locked="0"/>
    </xf>
    <xf numFmtId="180" fontId="63" fillId="2" borderId="9" xfId="0" applyNumberFormat="1" applyFont="1" applyFill="1" applyBorder="1" applyAlignment="1" applyProtection="1">
      <alignment horizontal="left" wrapText="1"/>
      <protection locked="0"/>
    </xf>
    <xf numFmtId="180" fontId="63" fillId="2" borderId="3" xfId="0" applyNumberFormat="1" applyFont="1" applyFill="1" applyBorder="1" applyAlignment="1" applyProtection="1">
      <alignment horizontal="left" wrapText="1"/>
      <protection locked="0"/>
    </xf>
    <xf numFmtId="180" fontId="63" fillId="2" borderId="10" xfId="0" applyNumberFormat="1" applyFont="1" applyFill="1" applyBorder="1" applyAlignment="1" applyProtection="1">
      <alignment horizontal="left" wrapText="1"/>
      <protection locked="0"/>
    </xf>
    <xf numFmtId="180" fontId="24" fillId="2" borderId="3" xfId="0" applyNumberFormat="1" applyFont="1" applyFill="1" applyBorder="1" applyAlignment="1" applyProtection="1">
      <alignment horizontal="left" wrapText="1"/>
      <protection locked="0"/>
    </xf>
    <xf numFmtId="180" fontId="24" fillId="2" borderId="10" xfId="0" applyNumberFormat="1" applyFont="1" applyFill="1" applyBorder="1" applyAlignment="1" applyProtection="1">
      <alignment horizontal="left" wrapText="1"/>
      <protection locked="0"/>
    </xf>
    <xf numFmtId="0" fontId="25" fillId="0" borderId="0" xfId="9" applyFont="1" applyAlignment="1">
      <alignment wrapText="1"/>
    </xf>
    <xf numFmtId="42" fontId="25" fillId="2" borderId="9" xfId="0" applyNumberFormat="1" applyFont="1" applyFill="1" applyBorder="1" applyAlignment="1" applyProtection="1">
      <alignment horizontal="left" vertical="top" wrapText="1"/>
      <protection locked="0"/>
    </xf>
    <xf numFmtId="42" fontId="25" fillId="2" borderId="3" xfId="0" applyNumberFormat="1" applyFont="1" applyFill="1" applyBorder="1" applyAlignment="1" applyProtection="1">
      <alignment horizontal="left" vertical="top" wrapText="1"/>
      <protection locked="0"/>
    </xf>
    <xf numFmtId="0" fontId="24" fillId="0" borderId="6" xfId="0" applyFont="1" applyBorder="1" applyAlignment="1">
      <alignment horizontal="center" wrapText="1"/>
    </xf>
    <xf numFmtId="0" fontId="25" fillId="0" borderId="14" xfId="0" applyFont="1" applyBorder="1" applyAlignment="1">
      <alignment wrapText="1"/>
    </xf>
    <xf numFmtId="0" fontId="110" fillId="0" borderId="0" xfId="9" applyFont="1" applyAlignment="1">
      <alignment wrapText="1"/>
    </xf>
    <xf numFmtId="0" fontId="41" fillId="0" borderId="0" xfId="9" applyFont="1" applyAlignment="1">
      <alignment wrapText="1"/>
    </xf>
    <xf numFmtId="0" fontId="25" fillId="0" borderId="0" xfId="9" applyFont="1" applyAlignment="1">
      <alignment horizontal="left" wrapText="1"/>
    </xf>
    <xf numFmtId="42" fontId="25" fillId="2" borderId="10" xfId="0" applyNumberFormat="1" applyFont="1" applyFill="1" applyBorder="1" applyAlignment="1" applyProtection="1">
      <alignment horizontal="left" vertical="top" wrapText="1"/>
      <protection locked="0"/>
    </xf>
    <xf numFmtId="0" fontId="24" fillId="0" borderId="3" xfId="0" applyFont="1" applyBorder="1" applyAlignment="1">
      <alignment horizontal="left" wrapText="1"/>
    </xf>
    <xf numFmtId="0" fontId="24" fillId="0" borderId="10" xfId="0" applyFont="1" applyBorder="1" applyAlignment="1">
      <alignment horizontal="left" wrapText="1"/>
    </xf>
    <xf numFmtId="0" fontId="24" fillId="2" borderId="3" xfId="0" applyFont="1" applyFill="1" applyBorder="1" applyAlignment="1" applyProtection="1">
      <alignment horizontal="left" wrapText="1"/>
      <protection locked="0"/>
    </xf>
    <xf numFmtId="0" fontId="24" fillId="2" borderId="10" xfId="0" applyFont="1" applyFill="1" applyBorder="1" applyAlignment="1" applyProtection="1">
      <alignment horizontal="left" wrapText="1"/>
      <protection locked="0"/>
    </xf>
    <xf numFmtId="181" fontId="24" fillId="2" borderId="3" xfId="0" applyNumberFormat="1" applyFont="1" applyFill="1" applyBorder="1" applyAlignment="1" applyProtection="1">
      <alignment horizontal="left" wrapText="1"/>
      <protection locked="0"/>
    </xf>
    <xf numFmtId="181" fontId="24" fillId="2" borderId="10" xfId="0" applyNumberFormat="1" applyFont="1" applyFill="1" applyBorder="1" applyAlignment="1" applyProtection="1">
      <alignment horizontal="left" wrapText="1"/>
      <protection locked="0"/>
    </xf>
    <xf numFmtId="0" fontId="61" fillId="2" borderId="3" xfId="0" applyFont="1" applyFill="1" applyBorder="1" applyAlignment="1" applyProtection="1">
      <alignment horizontal="left" wrapText="1"/>
      <protection locked="0"/>
    </xf>
    <xf numFmtId="0" fontId="61" fillId="2" borderId="10" xfId="0" applyFont="1" applyFill="1" applyBorder="1" applyAlignment="1" applyProtection="1">
      <alignment horizontal="left" wrapText="1"/>
      <protection locked="0"/>
    </xf>
    <xf numFmtId="49" fontId="8" fillId="2" borderId="9" xfId="21" applyNumberFormat="1" applyFont="1" applyFill="1" applyBorder="1" applyAlignment="1" applyProtection="1">
      <alignment horizontal="center" wrapText="1"/>
      <protection locked="0"/>
    </xf>
    <xf numFmtId="49" fontId="8" fillId="2" borderId="3" xfId="21" applyNumberFormat="1" applyFont="1" applyFill="1" applyBorder="1" applyAlignment="1" applyProtection="1">
      <alignment horizontal="center" wrapText="1"/>
      <protection locked="0"/>
    </xf>
    <xf numFmtId="49" fontId="8" fillId="2" borderId="10" xfId="21" applyNumberFormat="1" applyFont="1" applyFill="1" applyBorder="1" applyAlignment="1" applyProtection="1">
      <alignment horizontal="center" wrapText="1"/>
      <protection locked="0"/>
    </xf>
    <xf numFmtId="0" fontId="8" fillId="0" borderId="9" xfId="21" applyFont="1" applyBorder="1" applyAlignment="1">
      <alignment horizontal="center" wrapText="1"/>
    </xf>
    <xf numFmtId="0" fontId="8" fillId="0" borderId="3" xfId="21" applyFont="1" applyBorder="1" applyAlignment="1">
      <alignment horizontal="center" wrapText="1"/>
    </xf>
    <xf numFmtId="0" fontId="8" fillId="0" borderId="10" xfId="21" applyFont="1" applyBorder="1" applyAlignment="1">
      <alignment horizontal="center" wrapText="1"/>
    </xf>
    <xf numFmtId="180" fontId="9" fillId="2" borderId="9" xfId="0" applyNumberFormat="1" applyFont="1" applyFill="1" applyBorder="1" applyAlignment="1" applyProtection="1">
      <alignment horizontal="left" wrapText="1"/>
      <protection locked="0"/>
    </xf>
    <xf numFmtId="180" fontId="9" fillId="2" borderId="3" xfId="0" applyNumberFormat="1" applyFont="1" applyFill="1" applyBorder="1" applyAlignment="1" applyProtection="1">
      <alignment horizontal="left" wrapText="1"/>
      <protection locked="0"/>
    </xf>
    <xf numFmtId="180" fontId="51" fillId="0" borderId="10" xfId="0" applyNumberFormat="1" applyFont="1" applyBorder="1" applyAlignment="1" applyProtection="1">
      <alignment wrapText="1"/>
      <protection locked="0"/>
    </xf>
    <xf numFmtId="0" fontId="20" fillId="0" borderId="0" xfId="0" applyFont="1" applyAlignment="1">
      <alignment horizontal="right"/>
    </xf>
    <xf numFmtId="0" fontId="9" fillId="0" borderId="9" xfId="0" applyFont="1" applyBorder="1" applyAlignment="1">
      <alignment horizontal="left" wrapText="1"/>
    </xf>
    <xf numFmtId="0" fontId="9" fillId="0" borderId="3" xfId="0" applyFont="1" applyBorder="1" applyAlignment="1">
      <alignment horizontal="left" wrapText="1"/>
    </xf>
    <xf numFmtId="0" fontId="51" fillId="0" borderId="10" xfId="0" applyFont="1" applyBorder="1" applyAlignment="1">
      <alignment wrapText="1"/>
    </xf>
    <xf numFmtId="0" fontId="9" fillId="2" borderId="9" xfId="0" applyFont="1" applyFill="1" applyBorder="1" applyAlignment="1" applyProtection="1">
      <alignment horizontal="left" wrapText="1"/>
      <protection locked="0"/>
    </xf>
    <xf numFmtId="0" fontId="9" fillId="2" borderId="3" xfId="0" applyFont="1" applyFill="1" applyBorder="1" applyAlignment="1" applyProtection="1">
      <alignment horizontal="left" wrapText="1"/>
      <protection locked="0"/>
    </xf>
    <xf numFmtId="0" fontId="51" fillId="0" borderId="10" xfId="0" applyFont="1" applyBorder="1" applyAlignment="1" applyProtection="1">
      <alignment wrapText="1"/>
      <protection locked="0"/>
    </xf>
    <xf numFmtId="181" fontId="9" fillId="2" borderId="9" xfId="0" applyNumberFormat="1" applyFont="1" applyFill="1" applyBorder="1" applyAlignment="1" applyProtection="1">
      <alignment horizontal="left" wrapText="1"/>
      <protection locked="0"/>
    </xf>
    <xf numFmtId="181" fontId="9" fillId="2" borderId="3" xfId="0" applyNumberFormat="1" applyFont="1" applyFill="1" applyBorder="1" applyAlignment="1" applyProtection="1">
      <alignment horizontal="left" wrapText="1"/>
      <protection locked="0"/>
    </xf>
    <xf numFmtId="181" fontId="51" fillId="0" borderId="10" xfId="0" applyNumberFormat="1" applyFont="1" applyBorder="1" applyAlignment="1" applyProtection="1">
      <alignment wrapText="1"/>
      <protection locked="0"/>
    </xf>
    <xf numFmtId="0" fontId="60" fillId="2" borderId="9" xfId="0" applyFont="1" applyFill="1" applyBorder="1" applyAlignment="1" applyProtection="1">
      <alignment horizontal="left" wrapText="1"/>
      <protection locked="0"/>
    </xf>
    <xf numFmtId="0" fontId="60" fillId="2" borderId="3" xfId="0" applyFont="1" applyFill="1" applyBorder="1" applyAlignment="1" applyProtection="1">
      <alignment horizontal="left" wrapText="1"/>
      <protection locked="0"/>
    </xf>
    <xf numFmtId="0" fontId="62" fillId="0" borderId="10" xfId="0" applyFont="1" applyBorder="1" applyAlignment="1" applyProtection="1">
      <alignment wrapText="1"/>
      <protection locked="0"/>
    </xf>
    <xf numFmtId="0" fontId="9" fillId="0" borderId="10" xfId="0" applyFont="1" applyBorder="1" applyAlignment="1">
      <alignment horizontal="left" wrapText="1"/>
    </xf>
    <xf numFmtId="0" fontId="9" fillId="2" borderId="10" xfId="0" applyFont="1" applyFill="1" applyBorder="1" applyAlignment="1" applyProtection="1">
      <alignment horizontal="left" wrapText="1"/>
      <protection locked="0"/>
    </xf>
    <xf numFmtId="181" fontId="9" fillId="2" borderId="10" xfId="0" applyNumberFormat="1" applyFont="1" applyFill="1" applyBorder="1" applyAlignment="1" applyProtection="1">
      <alignment horizontal="left" wrapText="1"/>
      <protection locked="0"/>
    </xf>
    <xf numFmtId="0" fontId="8" fillId="0" borderId="19" xfId="0" applyFont="1" applyBorder="1" applyAlignment="1">
      <alignment horizontal="left" wrapText="1"/>
    </xf>
    <xf numFmtId="0" fontId="8" fillId="0" borderId="0" xfId="0" applyFont="1" applyAlignment="1">
      <alignment horizontal="left" wrapText="1"/>
    </xf>
    <xf numFmtId="0" fontId="8" fillId="0" borderId="20" xfId="0" applyFont="1" applyBorder="1" applyAlignment="1">
      <alignment horizontal="left" wrapText="1"/>
    </xf>
    <xf numFmtId="0" fontId="8" fillId="2" borderId="17" xfId="0" applyFont="1" applyFill="1" applyBorder="1" applyAlignment="1" applyProtection="1">
      <alignment horizontal="left" wrapText="1"/>
      <protection locked="0"/>
    </xf>
    <xf numFmtId="0" fontId="8" fillId="2" borderId="16" xfId="0" applyFont="1" applyFill="1" applyBorder="1" applyAlignment="1" applyProtection="1">
      <alignment horizontal="left" wrapText="1"/>
      <protection locked="0"/>
    </xf>
    <xf numFmtId="0" fontId="8" fillId="2" borderId="18" xfId="0" applyFont="1" applyFill="1" applyBorder="1" applyAlignment="1" applyProtection="1">
      <alignment horizontal="left" wrapText="1"/>
      <protection locked="0"/>
    </xf>
    <xf numFmtId="0" fontId="8" fillId="2" borderId="19" xfId="0" applyFont="1" applyFill="1" applyBorder="1" applyAlignment="1" applyProtection="1">
      <alignment horizontal="left" wrapText="1"/>
      <protection locked="0"/>
    </xf>
    <xf numFmtId="0" fontId="8" fillId="2" borderId="0" xfId="0" applyFont="1" applyFill="1" applyAlignment="1" applyProtection="1">
      <alignment horizontal="left" wrapText="1"/>
      <protection locked="0"/>
    </xf>
    <xf numFmtId="0" fontId="8" fillId="2" borderId="20" xfId="0" applyFont="1" applyFill="1" applyBorder="1" applyAlignment="1" applyProtection="1">
      <alignment horizontal="left" wrapText="1"/>
      <protection locked="0"/>
    </xf>
    <xf numFmtId="0" fontId="8" fillId="2" borderId="11" xfId="0" applyFont="1" applyFill="1" applyBorder="1" applyAlignment="1" applyProtection="1">
      <alignment horizontal="left" wrapText="1"/>
      <protection locked="0"/>
    </xf>
    <xf numFmtId="0" fontId="8" fillId="2" borderId="12" xfId="0" applyFont="1" applyFill="1" applyBorder="1" applyAlignment="1" applyProtection="1">
      <alignment horizontal="left" wrapText="1"/>
      <protection locked="0"/>
    </xf>
    <xf numFmtId="0" fontId="8" fillId="2" borderId="13" xfId="0" applyFont="1" applyFill="1" applyBorder="1" applyAlignment="1" applyProtection="1">
      <alignment horizontal="left" wrapText="1"/>
      <protection locked="0"/>
    </xf>
    <xf numFmtId="0" fontId="8" fillId="0" borderId="17" xfId="42" applyBorder="1" applyAlignment="1">
      <alignment horizontal="left" vertical="top" wrapText="1"/>
    </xf>
    <xf numFmtId="0" fontId="8" fillId="0" borderId="16" xfId="42" applyBorder="1" applyAlignment="1">
      <alignment horizontal="left" vertical="top" wrapText="1"/>
    </xf>
    <xf numFmtId="0" fontId="8" fillId="0" borderId="18" xfId="42" applyBorder="1" applyAlignment="1">
      <alignment horizontal="left" vertical="top" wrapText="1"/>
    </xf>
    <xf numFmtId="0" fontId="8" fillId="0" borderId="19" xfId="42" applyBorder="1" applyAlignment="1">
      <alignment horizontal="left" vertical="top" wrapText="1"/>
    </xf>
    <xf numFmtId="0" fontId="8" fillId="0" borderId="0" xfId="42" applyAlignment="1">
      <alignment horizontal="left" vertical="top" wrapText="1"/>
    </xf>
    <xf numFmtId="0" fontId="8" fillId="0" borderId="20" xfId="42" applyBorder="1" applyAlignment="1">
      <alignment horizontal="left" vertical="top" wrapText="1"/>
    </xf>
    <xf numFmtId="0" fontId="25" fillId="0" borderId="19" xfId="0" applyFont="1" applyBorder="1" applyAlignment="1">
      <alignment wrapText="1"/>
    </xf>
    <xf numFmtId="0" fontId="25" fillId="0" borderId="0" xfId="0" applyFont="1" applyAlignment="1">
      <alignment wrapText="1"/>
    </xf>
    <xf numFmtId="0" fontId="25" fillId="0" borderId="20" xfId="0" applyFont="1" applyBorder="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5" fillId="0" borderId="13" xfId="0" applyFont="1" applyBorder="1" applyAlignment="1">
      <alignment wrapText="1"/>
    </xf>
    <xf numFmtId="0" fontId="25" fillId="2" borderId="17" xfId="20" applyFont="1" applyFill="1" applyBorder="1" applyAlignment="1" applyProtection="1">
      <alignment horizontal="center" vertical="top" wrapText="1"/>
      <protection locked="0"/>
    </xf>
    <xf numFmtId="0" fontId="25" fillId="2" borderId="16" xfId="20" applyFont="1" applyFill="1" applyBorder="1" applyAlignment="1" applyProtection="1">
      <alignment horizontal="center" vertical="top" wrapText="1"/>
      <protection locked="0"/>
    </xf>
    <xf numFmtId="0" fontId="25" fillId="2" borderId="18" xfId="20" applyFont="1" applyFill="1" applyBorder="1" applyAlignment="1" applyProtection="1">
      <alignment horizontal="center" vertical="top" wrapText="1"/>
      <protection locked="0"/>
    </xf>
    <xf numFmtId="0" fontId="25" fillId="2" borderId="19" xfId="20" applyFont="1" applyFill="1" applyBorder="1" applyAlignment="1" applyProtection="1">
      <alignment horizontal="center" vertical="top" wrapText="1"/>
      <protection locked="0"/>
    </xf>
    <xf numFmtId="0" fontId="25" fillId="2" borderId="0" xfId="20" applyFont="1" applyFill="1" applyAlignment="1" applyProtection="1">
      <alignment horizontal="center" vertical="top" wrapText="1"/>
      <protection locked="0"/>
    </xf>
    <xf numFmtId="0" fontId="25" fillId="2" borderId="20" xfId="20" applyFont="1" applyFill="1" applyBorder="1" applyAlignment="1" applyProtection="1">
      <alignment horizontal="center" vertical="top" wrapText="1"/>
      <protection locked="0"/>
    </xf>
    <xf numFmtId="0" fontId="25" fillId="2" borderId="11" xfId="20" applyFont="1" applyFill="1" applyBorder="1" applyAlignment="1" applyProtection="1">
      <alignment horizontal="center" vertical="top" wrapText="1"/>
      <protection locked="0"/>
    </xf>
    <xf numFmtId="0" fontId="25" fillId="2" borderId="12" xfId="20" applyFont="1" applyFill="1" applyBorder="1" applyAlignment="1" applyProtection="1">
      <alignment horizontal="center" vertical="top" wrapText="1"/>
      <protection locked="0"/>
    </xf>
    <xf numFmtId="0" fontId="25" fillId="2" borderId="13" xfId="20" applyFont="1" applyFill="1" applyBorder="1" applyAlignment="1" applyProtection="1">
      <alignment horizontal="center" vertical="top" wrapText="1"/>
      <protection locked="0"/>
    </xf>
    <xf numFmtId="0" fontId="8" fillId="2" borderId="17" xfId="20" applyFont="1" applyFill="1" applyBorder="1" applyAlignment="1" applyProtection="1">
      <alignment horizontal="left" wrapText="1"/>
      <protection locked="0"/>
    </xf>
    <xf numFmtId="0" fontId="8" fillId="2" borderId="16" xfId="20" applyFont="1" applyFill="1" applyBorder="1" applyAlignment="1" applyProtection="1">
      <alignment horizontal="left" wrapText="1"/>
      <protection locked="0"/>
    </xf>
    <xf numFmtId="0" fontId="8" fillId="2" borderId="18" xfId="20" applyFont="1" applyFill="1" applyBorder="1" applyAlignment="1" applyProtection="1">
      <alignment horizontal="left" wrapText="1"/>
      <protection locked="0"/>
    </xf>
    <xf numFmtId="0" fontId="8" fillId="2" borderId="11" xfId="20" applyFont="1" applyFill="1" applyBorder="1" applyAlignment="1" applyProtection="1">
      <alignment horizontal="left" wrapText="1"/>
      <protection locked="0"/>
    </xf>
    <xf numFmtId="0" fontId="8" fillId="2" borderId="12" xfId="20" applyFont="1" applyFill="1" applyBorder="1" applyAlignment="1" applyProtection="1">
      <alignment horizontal="left" wrapText="1"/>
      <protection locked="0"/>
    </xf>
    <xf numFmtId="0" fontId="8" fillId="2" borderId="13" xfId="20" applyFont="1" applyFill="1" applyBorder="1" applyAlignment="1" applyProtection="1">
      <alignment horizontal="left" wrapText="1"/>
      <protection locked="0"/>
    </xf>
    <xf numFmtId="0" fontId="60" fillId="2" borderId="10" xfId="0" applyFont="1" applyFill="1" applyBorder="1" applyAlignment="1" applyProtection="1">
      <alignment horizontal="left" wrapText="1"/>
      <protection locked="0"/>
    </xf>
    <xf numFmtId="180" fontId="9" fillId="2" borderId="10" xfId="0" applyNumberFormat="1" applyFont="1" applyFill="1" applyBorder="1" applyAlignment="1" applyProtection="1">
      <alignment horizontal="left" wrapText="1"/>
      <protection locked="0"/>
    </xf>
    <xf numFmtId="0" fontId="8" fillId="2" borderId="17" xfId="20" applyFont="1" applyFill="1" applyBorder="1" applyAlignment="1" applyProtection="1">
      <alignment horizontal="left" vertical="top" wrapText="1"/>
      <protection locked="0"/>
    </xf>
    <xf numFmtId="0" fontId="8" fillId="2" borderId="16" xfId="20" applyFont="1" applyFill="1" applyBorder="1" applyAlignment="1" applyProtection="1">
      <alignment horizontal="left" vertical="top" wrapText="1"/>
      <protection locked="0"/>
    </xf>
    <xf numFmtId="0" fontId="8" fillId="2" borderId="18" xfId="20" applyFont="1" applyFill="1" applyBorder="1" applyAlignment="1" applyProtection="1">
      <alignment horizontal="left" vertical="top" wrapText="1"/>
      <protection locked="0"/>
    </xf>
    <xf numFmtId="0" fontId="8" fillId="2" borderId="19" xfId="20" applyFont="1" applyFill="1" applyBorder="1" applyAlignment="1" applyProtection="1">
      <alignment horizontal="left" vertical="top" wrapText="1"/>
      <protection locked="0"/>
    </xf>
    <xf numFmtId="0" fontId="8" fillId="2" borderId="0" xfId="20" applyFont="1" applyFill="1" applyAlignment="1" applyProtection="1">
      <alignment horizontal="left" vertical="top" wrapText="1"/>
      <protection locked="0"/>
    </xf>
    <xf numFmtId="0" fontId="8" fillId="2" borderId="20" xfId="20" applyFont="1" applyFill="1" applyBorder="1" applyAlignment="1" applyProtection="1">
      <alignment horizontal="left" vertical="top" wrapText="1"/>
      <protection locked="0"/>
    </xf>
    <xf numFmtId="0" fontId="8" fillId="2" borderId="11" xfId="20" applyFont="1" applyFill="1" applyBorder="1" applyAlignment="1" applyProtection="1">
      <alignment horizontal="left" vertical="top" wrapText="1"/>
      <protection locked="0"/>
    </xf>
    <xf numFmtId="0" fontId="8" fillId="2" borderId="12" xfId="20" applyFont="1" applyFill="1" applyBorder="1" applyAlignment="1" applyProtection="1">
      <alignment horizontal="left" vertical="top" wrapText="1"/>
      <protection locked="0"/>
    </xf>
    <xf numFmtId="0" fontId="8" fillId="2" borderId="13" xfId="20" applyFont="1" applyFill="1" applyBorder="1" applyAlignment="1" applyProtection="1">
      <alignment horizontal="left" vertical="top" wrapText="1"/>
      <protection locked="0"/>
    </xf>
    <xf numFmtId="0" fontId="8" fillId="2" borderId="17"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0" xfId="0" applyFont="1" applyFill="1" applyAlignment="1">
      <alignment horizontal="left" vertical="top" wrapText="1"/>
    </xf>
    <xf numFmtId="0" fontId="8" fillId="2" borderId="2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0" borderId="19" xfId="20" applyFont="1" applyBorder="1" applyAlignment="1">
      <alignment horizontal="left" wrapText="1"/>
    </xf>
    <xf numFmtId="0" fontId="8" fillId="0" borderId="0" xfId="20" applyFont="1" applyAlignment="1">
      <alignment horizontal="left" wrapText="1"/>
    </xf>
    <xf numFmtId="0" fontId="8" fillId="0" borderId="20" xfId="20" applyFont="1" applyBorder="1" applyAlignment="1">
      <alignment horizontal="left" wrapText="1"/>
    </xf>
    <xf numFmtId="164" fontId="8" fillId="0" borderId="0" xfId="1" applyNumberFormat="1" applyFont="1" applyAlignment="1" applyProtection="1">
      <alignment horizontal="center" vertical="center"/>
    </xf>
    <xf numFmtId="164" fontId="8" fillId="0" borderId="12" xfId="1" quotePrefix="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165" fontId="8" fillId="0" borderId="12" xfId="1" quotePrefix="1" applyNumberFormat="1" applyFont="1" applyBorder="1" applyAlignment="1" applyProtection="1">
      <alignment horizontal="center" vertical="center"/>
    </xf>
    <xf numFmtId="0" fontId="7" fillId="0" borderId="0" xfId="14" applyAlignment="1">
      <alignment horizontal="left" wrapText="1"/>
    </xf>
    <xf numFmtId="0" fontId="24" fillId="0" borderId="0" xfId="0" applyFont="1" applyAlignment="1">
      <alignment horizontal="left" wrapText="1"/>
    </xf>
    <xf numFmtId="0" fontId="24" fillId="0" borderId="0" xfId="0" applyFont="1" applyAlignment="1">
      <alignment horizontal="left" vertical="top" wrapText="1"/>
    </xf>
    <xf numFmtId="0" fontId="25" fillId="0" borderId="12" xfId="0" applyFont="1" applyBorder="1" applyAlignment="1">
      <alignment vertical="top" wrapText="1"/>
    </xf>
    <xf numFmtId="41" fontId="24" fillId="0" borderId="2" xfId="0" applyNumberFormat="1" applyFont="1" applyBorder="1" applyAlignment="1">
      <alignment horizontal="center"/>
    </xf>
    <xf numFmtId="0" fontId="24" fillId="0" borderId="2" xfId="0" applyFont="1" applyBorder="1" applyAlignment="1">
      <alignment horizontal="center"/>
    </xf>
    <xf numFmtId="0" fontId="25" fillId="2" borderId="9" xfId="0" applyFont="1" applyFill="1" applyBorder="1" applyAlignment="1" applyProtection="1">
      <alignment vertical="top" wrapText="1"/>
      <protection locked="0"/>
    </xf>
    <xf numFmtId="0" fontId="25" fillId="2" borderId="3" xfId="0" applyFont="1" applyFill="1" applyBorder="1" applyAlignment="1" applyProtection="1">
      <alignment vertical="top" wrapText="1"/>
      <protection locked="0"/>
    </xf>
    <xf numFmtId="0" fontId="25" fillId="2" borderId="10" xfId="0" applyFont="1" applyFill="1" applyBorder="1" applyAlignment="1" applyProtection="1">
      <alignment vertical="top" wrapText="1"/>
      <protection locked="0"/>
    </xf>
    <xf numFmtId="0" fontId="0" fillId="0" borderId="3" xfId="0" applyBorder="1" applyAlignment="1">
      <alignment vertical="top" wrapText="1"/>
    </xf>
    <xf numFmtId="0" fontId="0" fillId="0" borderId="10" xfId="0" applyBorder="1" applyAlignment="1">
      <alignment vertical="top" wrapText="1"/>
    </xf>
    <xf numFmtId="0" fontId="24" fillId="0" borderId="9" xfId="20" applyFont="1" applyBorder="1" applyAlignment="1">
      <alignment horizontal="left" vertical="top" wrapText="1"/>
    </xf>
    <xf numFmtId="0" fontId="24" fillId="0" borderId="3" xfId="20" applyFont="1" applyBorder="1" applyAlignment="1">
      <alignment horizontal="left" vertical="top" wrapText="1"/>
    </xf>
    <xf numFmtId="0" fontId="24" fillId="0" borderId="10" xfId="20" applyFont="1" applyBorder="1" applyAlignment="1">
      <alignment horizontal="left" vertical="top" wrapText="1"/>
    </xf>
    <xf numFmtId="0" fontId="24" fillId="0" borderId="14" xfId="20" applyFont="1" applyBorder="1" applyAlignment="1">
      <alignment horizontal="left" vertical="top" wrapText="1"/>
    </xf>
    <xf numFmtId="0" fontId="24" fillId="0" borderId="14" xfId="0" applyFont="1" applyBorder="1" applyAlignment="1">
      <alignment horizontal="left" vertical="top" wrapText="1"/>
    </xf>
    <xf numFmtId="0" fontId="24" fillId="2" borderId="2" xfId="20" applyFont="1" applyFill="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181" fontId="24" fillId="2" borderId="2" xfId="20" applyNumberFormat="1" applyFont="1" applyFill="1" applyBorder="1" applyAlignment="1" applyProtection="1">
      <alignment horizontal="left" vertical="top" wrapText="1"/>
      <protection locked="0"/>
    </xf>
    <xf numFmtId="181" fontId="24" fillId="2" borderId="2" xfId="0" applyNumberFormat="1" applyFont="1" applyFill="1" applyBorder="1" applyAlignment="1" applyProtection="1">
      <alignment horizontal="left" vertical="top" wrapText="1"/>
      <protection locked="0"/>
    </xf>
    <xf numFmtId="0" fontId="61" fillId="2" borderId="2" xfId="20" applyFont="1" applyFill="1" applyBorder="1" applyAlignment="1" applyProtection="1">
      <alignment horizontal="left" vertical="top" wrapText="1"/>
      <protection locked="0"/>
    </xf>
    <xf numFmtId="0" fontId="61" fillId="2" borderId="2" xfId="0" applyFont="1" applyFill="1" applyBorder="1" applyAlignment="1" applyProtection="1">
      <alignment horizontal="left" vertical="top" wrapText="1"/>
      <protection locked="0"/>
    </xf>
    <xf numFmtId="180" fontId="24" fillId="2" borderId="2" xfId="20" applyNumberFormat="1" applyFont="1" applyFill="1" applyBorder="1" applyAlignment="1" applyProtection="1">
      <alignment horizontal="left" vertical="top" wrapText="1"/>
      <protection locked="0"/>
    </xf>
    <xf numFmtId="0" fontId="25" fillId="0" borderId="0" xfId="14" applyFont="1" applyAlignment="1">
      <alignment vertical="top" wrapText="1"/>
    </xf>
    <xf numFmtId="0" fontId="25" fillId="0" borderId="0" xfId="0" applyFont="1" applyAlignment="1">
      <alignment vertical="top" wrapText="1"/>
    </xf>
    <xf numFmtId="0" fontId="25" fillId="2" borderId="9" xfId="20" applyFont="1" applyFill="1" applyBorder="1" applyAlignment="1" applyProtection="1">
      <alignment horizontal="center" vertical="top" wrapText="1"/>
      <protection locked="0"/>
    </xf>
    <xf numFmtId="0" fontId="25" fillId="2" borderId="3" xfId="20" applyFont="1" applyFill="1" applyBorder="1" applyAlignment="1" applyProtection="1">
      <alignment horizontal="center" vertical="top" wrapText="1"/>
      <protection locked="0"/>
    </xf>
    <xf numFmtId="0" fontId="25" fillId="2" borderId="10" xfId="20" applyFont="1" applyFill="1" applyBorder="1" applyAlignment="1" applyProtection="1">
      <alignment horizontal="center" vertical="top" wrapText="1"/>
      <protection locked="0"/>
    </xf>
    <xf numFmtId="0" fontId="8" fillId="0" borderId="0" xfId="0" applyFont="1" applyAlignment="1">
      <alignment horizontal="center" wrapText="1"/>
    </xf>
    <xf numFmtId="0" fontId="9" fillId="0" borderId="9" xfId="20" applyFont="1" applyBorder="1" applyAlignment="1">
      <alignment horizontal="left" vertical="top" wrapText="1"/>
    </xf>
    <xf numFmtId="0" fontId="9" fillId="0" borderId="3" xfId="20" applyFont="1" applyBorder="1" applyAlignment="1">
      <alignment horizontal="left" vertical="top" wrapText="1"/>
    </xf>
    <xf numFmtId="0" fontId="9" fillId="0" borderId="10" xfId="20" applyFont="1" applyBorder="1" applyAlignment="1">
      <alignment horizontal="left" vertical="top" wrapText="1"/>
    </xf>
    <xf numFmtId="180" fontId="147" fillId="2" borderId="2" xfId="20" applyNumberFormat="1" applyFont="1" applyFill="1" applyBorder="1" applyAlignment="1" applyProtection="1">
      <alignment horizontal="left" vertical="top" wrapText="1"/>
      <protection locked="0"/>
    </xf>
    <xf numFmtId="180" fontId="147" fillId="2" borderId="2" xfId="0" applyNumberFormat="1" applyFont="1" applyFill="1" applyBorder="1" applyAlignment="1" applyProtection="1">
      <alignment horizontal="left" vertical="top" wrapText="1"/>
      <protection locked="0"/>
    </xf>
    <xf numFmtId="0" fontId="8" fillId="0" borderId="0" xfId="13" applyFont="1" applyAlignment="1">
      <alignment wrapText="1"/>
    </xf>
    <xf numFmtId="0" fontId="8" fillId="2" borderId="9" xfId="13" applyFont="1" applyFill="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9" fillId="0" borderId="14" xfId="20" applyFont="1" applyBorder="1" applyAlignment="1">
      <alignment horizontal="left" vertical="top" wrapText="1"/>
    </xf>
    <xf numFmtId="0" fontId="9" fillId="0" borderId="14" xfId="0" applyFont="1" applyBorder="1" applyAlignment="1">
      <alignment horizontal="left" vertical="top" wrapText="1"/>
    </xf>
    <xf numFmtId="0" fontId="9" fillId="2" borderId="2" xfId="2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181" fontId="9" fillId="2" borderId="2" xfId="20" applyNumberFormat="1" applyFont="1" applyFill="1" applyBorder="1" applyAlignment="1" applyProtection="1">
      <alignment horizontal="left" vertical="top" wrapText="1"/>
      <protection locked="0"/>
    </xf>
    <xf numFmtId="181" fontId="9" fillId="2" borderId="2" xfId="0" applyNumberFormat="1" applyFont="1" applyFill="1" applyBorder="1" applyAlignment="1" applyProtection="1">
      <alignment horizontal="left" vertical="top" wrapText="1"/>
      <protection locked="0"/>
    </xf>
    <xf numFmtId="0" fontId="60" fillId="2" borderId="2" xfId="20" applyFont="1" applyFill="1" applyBorder="1" applyAlignment="1" applyProtection="1">
      <alignment horizontal="left" vertical="top" wrapText="1"/>
      <protection locked="0"/>
    </xf>
    <xf numFmtId="0" fontId="60" fillId="2" borderId="2" xfId="0" applyFont="1" applyFill="1" applyBorder="1" applyAlignment="1" applyProtection="1">
      <alignment horizontal="left" vertical="top" wrapText="1"/>
      <protection locked="0"/>
    </xf>
    <xf numFmtId="0" fontId="8" fillId="2" borderId="9" xfId="13" applyFont="1" applyFill="1" applyBorder="1" applyAlignment="1" applyProtection="1">
      <alignment horizontal="left" vertical="top" wrapText="1"/>
      <protection locked="0"/>
    </xf>
    <xf numFmtId="0" fontId="8" fillId="2" borderId="3" xfId="13" applyFont="1" applyFill="1" applyBorder="1" applyAlignment="1" applyProtection="1">
      <alignment horizontal="left" vertical="top" wrapText="1"/>
      <protection locked="0"/>
    </xf>
    <xf numFmtId="0" fontId="8" fillId="2" borderId="10" xfId="13" applyFont="1" applyFill="1" applyBorder="1" applyAlignment="1" applyProtection="1">
      <alignment horizontal="left" vertical="top" wrapText="1"/>
      <protection locked="0"/>
    </xf>
    <xf numFmtId="0" fontId="8" fillId="0" borderId="9" xfId="13" applyFont="1" applyBorder="1" applyAlignment="1">
      <alignment horizontal="left" wrapText="1"/>
    </xf>
    <xf numFmtId="0" fontId="8" fillId="0" borderId="3" xfId="13" applyFont="1" applyBorder="1" applyAlignment="1">
      <alignment horizontal="left" wrapText="1"/>
    </xf>
    <xf numFmtId="0" fontId="8" fillId="0" borderId="10" xfId="13" applyFont="1" applyBorder="1" applyAlignment="1">
      <alignment horizontal="left" wrapText="1"/>
    </xf>
    <xf numFmtId="0" fontId="8" fillId="0" borderId="2" xfId="0" applyFont="1" applyBorder="1" applyAlignment="1">
      <alignment horizontal="center" wrapText="1"/>
    </xf>
    <xf numFmtId="180" fontId="9" fillId="2" borderId="2" xfId="20" applyNumberFormat="1" applyFont="1" applyFill="1" applyBorder="1" applyAlignment="1" applyProtection="1">
      <alignment horizontal="left" vertical="top" wrapText="1"/>
      <protection locked="0"/>
    </xf>
    <xf numFmtId="180" fontId="9" fillId="2" borderId="2" xfId="0" applyNumberFormat="1" applyFont="1" applyFill="1" applyBorder="1" applyAlignment="1" applyProtection="1">
      <alignment horizontal="left" vertical="top" wrapText="1"/>
      <protection locked="0"/>
    </xf>
    <xf numFmtId="0" fontId="25" fillId="0" borderId="2" xfId="0" applyFont="1" applyBorder="1" applyAlignment="1">
      <alignment horizontal="left" vertical="top" wrapText="1"/>
    </xf>
    <xf numFmtId="0" fontId="9" fillId="0" borderId="2" xfId="20" applyFont="1" applyBorder="1" applyAlignment="1">
      <alignment horizontal="left" vertical="top" wrapText="1"/>
    </xf>
    <xf numFmtId="0" fontId="9" fillId="0" borderId="2" xfId="0" applyFont="1" applyBorder="1" applyAlignment="1">
      <alignment horizontal="left" vertical="top" wrapText="1"/>
    </xf>
    <xf numFmtId="0" fontId="25" fillId="2" borderId="9"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2" borderId="19"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42" fontId="8" fillId="2" borderId="2" xfId="0" applyNumberFormat="1" applyFont="1" applyFill="1" applyBorder="1" applyAlignment="1" applyProtection="1">
      <alignment horizontal="center" vertical="center" wrapText="1"/>
      <protection locked="0"/>
    </xf>
    <xf numFmtId="41" fontId="8" fillId="2" borderId="2" xfId="0" applyNumberFormat="1" applyFont="1" applyFill="1" applyBorder="1" applyAlignment="1" applyProtection="1">
      <alignment horizontal="center" vertical="center" wrapText="1"/>
      <protection locked="0"/>
    </xf>
    <xf numFmtId="0" fontId="8" fillId="0" borderId="12" xfId="0" applyFont="1" applyBorder="1" applyAlignment="1">
      <alignment horizontal="center"/>
    </xf>
    <xf numFmtId="0" fontId="45" fillId="0" borderId="0" xfId="0" applyFont="1" applyAlignment="1">
      <alignment horizontal="left" vertical="top" wrapText="1"/>
    </xf>
    <xf numFmtId="0" fontId="8" fillId="0" borderId="0" xfId="0" applyFont="1" applyAlignment="1">
      <alignment horizontal="left" vertical="top" wrapText="1"/>
    </xf>
    <xf numFmtId="42" fontId="8" fillId="2" borderId="9" xfId="0" applyNumberFormat="1" applyFont="1" applyFill="1" applyBorder="1" applyAlignment="1" applyProtection="1">
      <alignment horizontal="center" vertical="center" wrapText="1"/>
      <protection locked="0"/>
    </xf>
    <xf numFmtId="42" fontId="8" fillId="2" borderId="10" xfId="0" applyNumberFormat="1" applyFont="1" applyFill="1" applyBorder="1" applyAlignment="1" applyProtection="1">
      <alignment horizontal="center" vertical="center" wrapText="1"/>
      <protection locked="0"/>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0" borderId="0" xfId="0" applyFont="1" applyAlignment="1">
      <alignment horizontal="left"/>
    </xf>
    <xf numFmtId="0" fontId="84" fillId="0" borderId="9" xfId="16" applyFont="1" applyBorder="1" applyAlignment="1">
      <alignment vertical="top" wrapText="1"/>
    </xf>
    <xf numFmtId="0" fontId="84" fillId="0" borderId="3" xfId="16" applyFont="1" applyBorder="1" applyAlignment="1">
      <alignment vertical="top" wrapText="1"/>
    </xf>
    <xf numFmtId="0" fontId="84" fillId="0" borderId="10" xfId="16" applyFont="1" applyBorder="1" applyAlignment="1">
      <alignment vertical="top" wrapText="1"/>
    </xf>
    <xf numFmtId="0" fontId="75" fillId="0" borderId="9" xfId="38" applyFont="1" applyBorder="1" applyAlignment="1">
      <alignment vertical="top" wrapText="1"/>
    </xf>
    <xf numFmtId="0" fontId="75" fillId="0" borderId="3" xfId="38" applyFont="1" applyBorder="1" applyAlignment="1">
      <alignment vertical="top" wrapText="1"/>
    </xf>
    <xf numFmtId="0" fontId="75" fillId="0" borderId="10" xfId="38" applyFont="1" applyBorder="1" applyAlignment="1">
      <alignment vertical="top" wrapText="1"/>
    </xf>
    <xf numFmtId="0" fontId="79" fillId="2" borderId="9" xfId="16" applyFont="1" applyFill="1" applyBorder="1" applyAlignment="1" applyProtection="1">
      <alignment horizontal="left" wrapText="1"/>
      <protection locked="0"/>
    </xf>
    <xf numFmtId="0" fontId="79" fillId="2" borderId="3" xfId="16" applyFont="1" applyFill="1" applyBorder="1" applyAlignment="1" applyProtection="1">
      <alignment horizontal="left" wrapText="1"/>
      <protection locked="0"/>
    </xf>
    <xf numFmtId="0" fontId="79" fillId="2" borderId="10" xfId="16" applyFont="1" applyFill="1" applyBorder="1" applyAlignment="1" applyProtection="1">
      <alignment horizontal="left" wrapText="1"/>
      <protection locked="0"/>
    </xf>
    <xf numFmtId="0" fontId="34" fillId="0" borderId="12" xfId="16" applyFont="1" applyBorder="1" applyAlignment="1">
      <alignment horizontal="left" wrapText="1"/>
    </xf>
    <xf numFmtId="0" fontId="63" fillId="0" borderId="0" xfId="38" applyFont="1" applyAlignment="1">
      <alignment horizontal="left" wrapText="1"/>
    </xf>
    <xf numFmtId="0" fontId="35" fillId="0" borderId="0" xfId="38" applyFont="1" applyAlignment="1">
      <alignment vertical="top" wrapText="1"/>
    </xf>
    <xf numFmtId="49" fontId="25" fillId="0" borderId="0" xfId="1" applyNumberFormat="1" applyFont="1" applyFill="1" applyBorder="1" applyAlignment="1" applyProtection="1">
      <alignment horizontal="left"/>
    </xf>
    <xf numFmtId="0" fontId="35" fillId="0" borderId="0" xfId="0" applyFont="1" applyAlignment="1">
      <alignment horizontal="left" wrapText="1"/>
    </xf>
    <xf numFmtId="0" fontId="79" fillId="0" borderId="17" xfId="16" applyFont="1" applyBorder="1" applyAlignment="1">
      <alignment vertical="top" wrapText="1"/>
    </xf>
    <xf numFmtId="0" fontId="79" fillId="0" borderId="16" xfId="16" applyFont="1" applyBorder="1" applyAlignment="1">
      <alignment vertical="top" wrapText="1"/>
    </xf>
    <xf numFmtId="0" fontId="79" fillId="0" borderId="18" xfId="16" applyFont="1" applyBorder="1" applyAlignment="1">
      <alignment vertical="top" wrapText="1"/>
    </xf>
    <xf numFmtId="0" fontId="79" fillId="0" borderId="16" xfId="39" applyFont="1" applyBorder="1" applyAlignment="1">
      <alignment wrapText="1"/>
    </xf>
    <xf numFmtId="0" fontId="79" fillId="0" borderId="18" xfId="39" applyFont="1" applyBorder="1" applyAlignment="1">
      <alignment wrapText="1"/>
    </xf>
    <xf numFmtId="0" fontId="79" fillId="0" borderId="11" xfId="16" applyFont="1" applyBorder="1" applyAlignment="1">
      <alignment vertical="top" wrapText="1"/>
    </xf>
    <xf numFmtId="0" fontId="79" fillId="0" borderId="12" xfId="16" applyFont="1" applyBorder="1" applyAlignment="1">
      <alignment vertical="top" wrapText="1"/>
    </xf>
    <xf numFmtId="0" fontId="79" fillId="0" borderId="13" xfId="16" applyFont="1" applyBorder="1" applyAlignment="1">
      <alignment vertical="top" wrapText="1"/>
    </xf>
    <xf numFmtId="0" fontId="79" fillId="0" borderId="9" xfId="16" applyFont="1" applyBorder="1" applyAlignment="1">
      <alignment vertical="top" wrapText="1"/>
    </xf>
    <xf numFmtId="0" fontId="79" fillId="0" borderId="3" xfId="39" applyFont="1" applyBorder="1" applyAlignment="1">
      <alignment wrapText="1"/>
    </xf>
    <xf numFmtId="0" fontId="79" fillId="0" borderId="10" xfId="39" applyFont="1" applyBorder="1" applyAlignment="1">
      <alignment wrapText="1"/>
    </xf>
    <xf numFmtId="0" fontId="69" fillId="0" borderId="9" xfId="16" applyFont="1" applyBorder="1" applyAlignment="1">
      <alignment vertical="top" wrapText="1"/>
    </xf>
    <xf numFmtId="0" fontId="69" fillId="0" borderId="3" xfId="16" applyFont="1" applyBorder="1" applyAlignment="1">
      <alignment vertical="top" wrapText="1"/>
    </xf>
    <xf numFmtId="0" fontId="69" fillId="0" borderId="10" xfId="16" applyFont="1" applyBorder="1" applyAlignment="1">
      <alignment vertical="top" wrapText="1"/>
    </xf>
    <xf numFmtId="0" fontId="25" fillId="0" borderId="0" xfId="0" applyFont="1" applyAlignment="1">
      <alignment horizontal="left" vertical="center" wrapText="1"/>
    </xf>
    <xf numFmtId="0" fontId="137" fillId="0" borderId="0" xfId="16" applyFont="1" applyAlignment="1">
      <alignment horizontal="left" wrapText="1"/>
    </xf>
    <xf numFmtId="0" fontId="137" fillId="0" borderId="12" xfId="16" applyFont="1" applyBorder="1" applyAlignment="1">
      <alignment horizontal="left" wrapText="1"/>
    </xf>
    <xf numFmtId="0" fontId="34" fillId="0" borderId="2" xfId="20" applyFont="1" applyBorder="1" applyAlignment="1">
      <alignment horizontal="left" vertical="top" wrapText="1"/>
    </xf>
    <xf numFmtId="0" fontId="34" fillId="0" borderId="2" xfId="0" applyFont="1" applyBorder="1" applyAlignment="1">
      <alignment horizontal="left" vertical="top" wrapText="1"/>
    </xf>
    <xf numFmtId="0" fontId="34" fillId="2" borderId="9" xfId="20" applyFont="1" applyFill="1" applyBorder="1" applyAlignment="1" applyProtection="1">
      <alignment horizontal="left" vertical="top" wrapText="1"/>
      <protection locked="0"/>
    </xf>
    <xf numFmtId="0" fontId="34" fillId="2" borderId="10" xfId="20" applyFont="1" applyFill="1" applyBorder="1" applyAlignment="1" applyProtection="1">
      <alignment horizontal="left" vertical="top" wrapText="1"/>
      <protection locked="0"/>
    </xf>
    <xf numFmtId="181" fontId="34" fillId="2" borderId="9" xfId="20" applyNumberFormat="1" applyFont="1" applyFill="1" applyBorder="1" applyAlignment="1" applyProtection="1">
      <alignment horizontal="left" vertical="top" wrapText="1"/>
      <protection locked="0"/>
    </xf>
    <xf numFmtId="181" fontId="34" fillId="2" borderId="10" xfId="20" applyNumberFormat="1" applyFont="1" applyFill="1" applyBorder="1" applyAlignment="1" applyProtection="1">
      <alignment horizontal="left" vertical="top" wrapText="1"/>
      <protection locked="0"/>
    </xf>
    <xf numFmtId="0" fontId="35" fillId="2" borderId="2" xfId="0" applyFont="1" applyFill="1" applyBorder="1" applyAlignment="1" applyProtection="1">
      <alignment vertical="top" wrapText="1"/>
      <protection locked="0"/>
    </xf>
    <xf numFmtId="0" fontId="35" fillId="0" borderId="2" xfId="0" applyFont="1" applyBorder="1" applyAlignment="1" applyProtection="1">
      <alignment wrapText="1"/>
      <protection locked="0"/>
    </xf>
    <xf numFmtId="0" fontId="65" fillId="2" borderId="9" xfId="20" applyFont="1" applyFill="1" applyBorder="1" applyAlignment="1" applyProtection="1">
      <alignment horizontal="left" vertical="top" wrapText="1"/>
      <protection locked="0"/>
    </xf>
    <xf numFmtId="0" fontId="65" fillId="2" borderId="10" xfId="20" applyFont="1" applyFill="1" applyBorder="1" applyAlignment="1" applyProtection="1">
      <alignment horizontal="left" vertical="top" wrapText="1"/>
      <protection locked="0"/>
    </xf>
    <xf numFmtId="180" fontId="34" fillId="2" borderId="9" xfId="20" applyNumberFormat="1" applyFont="1" applyFill="1" applyBorder="1" applyAlignment="1" applyProtection="1">
      <alignment horizontal="left" vertical="top" wrapText="1"/>
      <protection locked="0"/>
    </xf>
    <xf numFmtId="180" fontId="34" fillId="2" borderId="10" xfId="20" applyNumberFormat="1" applyFont="1" applyFill="1" applyBorder="1" applyAlignment="1" applyProtection="1">
      <alignment horizontal="left" vertical="top" wrapText="1"/>
      <protection locked="0"/>
    </xf>
    <xf numFmtId="0" fontId="35" fillId="0" borderId="9" xfId="0" applyFont="1" applyBorder="1" applyAlignment="1">
      <alignment horizontal="right" wrapText="1"/>
    </xf>
    <xf numFmtId="0" fontId="35" fillId="0" borderId="10" xfId="0" applyFont="1" applyBorder="1" applyAlignment="1">
      <alignment horizontal="right" wrapText="1"/>
    </xf>
    <xf numFmtId="0" fontId="35" fillId="0" borderId="9" xfId="0" applyFont="1" applyBorder="1" applyAlignment="1">
      <alignment vertical="top" wrapText="1"/>
    </xf>
    <xf numFmtId="0" fontId="35" fillId="0" borderId="3" xfId="0" applyFont="1" applyBorder="1" applyAlignment="1">
      <alignment vertical="top" wrapText="1"/>
    </xf>
    <xf numFmtId="0" fontId="35" fillId="0" borderId="10" xfId="0" applyFont="1" applyBorder="1" applyAlignment="1">
      <alignment vertical="top" wrapText="1"/>
    </xf>
    <xf numFmtId="0" fontId="35" fillId="2" borderId="6" xfId="0" applyFont="1" applyFill="1" applyBorder="1" applyAlignment="1" applyProtection="1">
      <alignment vertical="top" wrapText="1"/>
      <protection locked="0"/>
    </xf>
    <xf numFmtId="0" fontId="35" fillId="2" borderId="15" xfId="0" applyFont="1" applyFill="1" applyBorder="1" applyAlignment="1" applyProtection="1">
      <alignment vertical="top" wrapText="1"/>
      <protection locked="0"/>
    </xf>
    <xf numFmtId="0" fontId="35" fillId="2" borderId="14" xfId="0" applyFont="1" applyFill="1" applyBorder="1" applyAlignment="1" applyProtection="1">
      <alignment vertical="top" wrapText="1"/>
      <protection locked="0"/>
    </xf>
    <xf numFmtId="0" fontId="35" fillId="0" borderId="9" xfId="22" applyFont="1" applyBorder="1" applyAlignment="1">
      <alignment horizontal="left" vertical="top" wrapText="1"/>
    </xf>
    <xf numFmtId="0" fontId="35" fillId="0" borderId="10" xfId="22" applyFont="1" applyBorder="1" applyAlignment="1">
      <alignment horizontal="left" vertical="top" wrapText="1"/>
    </xf>
    <xf numFmtId="0" fontId="67" fillId="0" borderId="0" xfId="16" applyFont="1" applyAlignment="1">
      <alignment horizontal="left" wrapText="1"/>
    </xf>
    <xf numFmtId="0" fontId="34" fillId="0" borderId="0" xfId="16" applyFont="1" applyAlignment="1">
      <alignment horizontal="left" wrapText="1"/>
    </xf>
    <xf numFmtId="0" fontId="35" fillId="0" borderId="0" xfId="16" applyFont="1" applyAlignment="1">
      <alignment vertical="top" wrapText="1"/>
    </xf>
    <xf numFmtId="0" fontId="35" fillId="0" borderId="0" xfId="0" applyFont="1" applyAlignment="1">
      <alignment wrapText="1"/>
    </xf>
    <xf numFmtId="0" fontId="35" fillId="2" borderId="6" xfId="0" applyFont="1" applyFill="1" applyBorder="1" applyAlignment="1" applyProtection="1">
      <alignment wrapText="1"/>
      <protection locked="0"/>
    </xf>
    <xf numFmtId="0" fontId="35" fillId="2" borderId="15" xfId="0" applyFont="1" applyFill="1" applyBorder="1" applyAlignment="1" applyProtection="1">
      <alignment wrapText="1"/>
      <protection locked="0"/>
    </xf>
    <xf numFmtId="0" fontId="35" fillId="2" borderId="14" xfId="0" applyFont="1" applyFill="1" applyBorder="1" applyAlignment="1" applyProtection="1">
      <alignment wrapText="1"/>
      <protection locked="0"/>
    </xf>
    <xf numFmtId="0" fontId="35" fillId="0" borderId="14" xfId="22" applyFont="1" applyBorder="1" applyAlignment="1">
      <alignment horizontal="left" vertical="top" wrapText="1"/>
    </xf>
    <xf numFmtId="0" fontId="35" fillId="0" borderId="2" xfId="22" applyFont="1" applyBorder="1" applyAlignment="1">
      <alignment horizontal="left" vertical="top" wrapText="1"/>
    </xf>
    <xf numFmtId="0" fontId="67" fillId="0" borderId="9" xfId="16" applyFont="1" applyBorder="1" applyAlignment="1">
      <alignment horizontal="left" vertical="top" wrapText="1"/>
    </xf>
    <xf numFmtId="0" fontId="35" fillId="0" borderId="3" xfId="16" applyFont="1" applyBorder="1" applyAlignment="1">
      <alignment horizontal="left" vertical="top" wrapText="1"/>
    </xf>
    <xf numFmtId="0" fontId="35" fillId="0" borderId="10" xfId="16" applyFont="1" applyBorder="1" applyAlignment="1">
      <alignment horizontal="left" vertical="top" wrapText="1"/>
    </xf>
    <xf numFmtId="0" fontId="35" fillId="0" borderId="2" xfId="16" applyFont="1" applyBorder="1" applyAlignment="1">
      <alignment horizontal="left" vertical="top" wrapText="1"/>
    </xf>
    <xf numFmtId="0" fontId="35" fillId="0" borderId="19" xfId="16" applyFont="1" applyBorder="1" applyAlignment="1">
      <alignment horizontal="left" vertical="top" wrapText="1"/>
    </xf>
    <xf numFmtId="0" fontId="34" fillId="0" borderId="0" xfId="16" applyFont="1" applyAlignment="1">
      <alignment horizontal="left" vertical="top" wrapText="1"/>
    </xf>
    <xf numFmtId="0" fontId="34" fillId="0" borderId="20" xfId="16" applyFont="1" applyBorder="1" applyAlignment="1">
      <alignment horizontal="left" vertical="top" wrapText="1"/>
    </xf>
    <xf numFmtId="0" fontId="34" fillId="0" borderId="19" xfId="0" applyFont="1" applyBorder="1" applyAlignment="1">
      <alignment horizontal="left" wrapText="1"/>
    </xf>
    <xf numFmtId="0" fontId="34" fillId="0" borderId="0" xfId="0" applyFont="1" applyAlignment="1">
      <alignment horizontal="left" wrapText="1"/>
    </xf>
    <xf numFmtId="0" fontId="34" fillId="0" borderId="20" xfId="0" applyFont="1" applyBorder="1" applyAlignment="1">
      <alignment horizontal="left" wrapText="1"/>
    </xf>
    <xf numFmtId="0" fontId="35" fillId="0" borderId="9" xfId="16" applyFont="1" applyBorder="1" applyAlignment="1">
      <alignment horizontal="center" vertical="top" wrapText="1"/>
    </xf>
    <xf numFmtId="0" fontId="35" fillId="0" borderId="10" xfId="16" applyFont="1" applyBorder="1" applyAlignment="1">
      <alignment horizontal="center" vertical="top" wrapText="1"/>
    </xf>
    <xf numFmtId="0" fontId="35" fillId="0" borderId="9" xfId="16" applyFont="1" applyBorder="1" applyAlignment="1">
      <alignment vertical="top" wrapText="1"/>
    </xf>
    <xf numFmtId="0" fontId="35" fillId="0" borderId="3" xfId="16" applyFont="1" applyBorder="1" applyAlignment="1">
      <alignment vertical="top" wrapText="1"/>
    </xf>
    <xf numFmtId="0" fontId="35" fillId="0" borderId="10" xfId="16" applyFont="1" applyBorder="1" applyAlignment="1">
      <alignment vertical="top" wrapText="1"/>
    </xf>
    <xf numFmtId="0" fontId="34" fillId="0" borderId="12" xfId="0" applyFont="1" applyBorder="1" applyAlignment="1">
      <alignment horizontal="left" wrapText="1"/>
    </xf>
    <xf numFmtId="0" fontId="35" fillId="2" borderId="9" xfId="16" applyFont="1" applyFill="1" applyBorder="1" applyAlignment="1" applyProtection="1">
      <alignment horizontal="left" wrapText="1"/>
      <protection locked="0"/>
    </xf>
    <xf numFmtId="0" fontId="25" fillId="2" borderId="3" xfId="0" applyFont="1" applyFill="1" applyBorder="1" applyAlignment="1" applyProtection="1">
      <alignment horizontal="left" wrapText="1"/>
      <protection locked="0"/>
    </xf>
    <xf numFmtId="0" fontId="25" fillId="2" borderId="10" xfId="0" applyFont="1" applyFill="1" applyBorder="1" applyAlignment="1" applyProtection="1">
      <alignment horizontal="left" wrapText="1"/>
      <protection locked="0"/>
    </xf>
    <xf numFmtId="0" fontId="35" fillId="0" borderId="12" xfId="0" applyFont="1" applyBorder="1" applyAlignment="1">
      <alignment horizontal="left" wrapText="1"/>
    </xf>
    <xf numFmtId="0" fontId="34" fillId="0" borderId="9" xfId="16" applyFont="1" applyBorder="1" applyAlignment="1">
      <alignment horizontal="left"/>
    </xf>
    <xf numFmtId="0" fontId="35" fillId="0" borderId="3" xfId="16" applyFont="1" applyBorder="1" applyAlignment="1">
      <alignment horizontal="left"/>
    </xf>
    <xf numFmtId="0" fontId="35" fillId="0" borderId="10" xfId="16" applyFont="1" applyBorder="1" applyAlignment="1">
      <alignment horizontal="left"/>
    </xf>
    <xf numFmtId="0" fontId="69" fillId="6" borderId="9" xfId="16" applyFont="1" applyFill="1" applyBorder="1" applyAlignment="1">
      <alignment vertical="top" wrapText="1"/>
    </xf>
    <xf numFmtId="0" fontId="35" fillId="6" borderId="3" xfId="39" applyFont="1" applyFill="1" applyBorder="1" applyAlignment="1">
      <alignment wrapText="1"/>
    </xf>
    <xf numFmtId="0" fontId="35" fillId="6" borderId="18" xfId="39" applyFont="1" applyFill="1" applyBorder="1" applyAlignment="1">
      <alignment wrapText="1"/>
    </xf>
    <xf numFmtId="0" fontId="35" fillId="0" borderId="0" xfId="0" applyFont="1"/>
    <xf numFmtId="0" fontId="35" fillId="0" borderId="2" xfId="0" applyFont="1" applyBorder="1" applyAlignment="1">
      <alignment horizontal="left" wrapText="1"/>
    </xf>
    <xf numFmtId="0" fontId="35" fillId="5" borderId="9" xfId="0" applyFont="1" applyFill="1" applyBorder="1" applyAlignment="1" applyProtection="1">
      <alignment horizontal="left" wrapText="1"/>
      <protection locked="0"/>
    </xf>
    <xf numFmtId="0" fontId="35" fillId="5" borderId="10" xfId="0" applyFont="1" applyFill="1" applyBorder="1" applyAlignment="1" applyProtection="1">
      <alignment horizontal="left" wrapText="1"/>
      <protection locked="0"/>
    </xf>
    <xf numFmtId="0" fontId="35" fillId="5" borderId="0" xfId="0" applyFont="1" applyFill="1" applyAlignment="1">
      <alignment horizontal="center"/>
    </xf>
    <xf numFmtId="0" fontId="35" fillId="0" borderId="2" xfId="16" applyFont="1" applyBorder="1" applyAlignment="1">
      <alignment vertical="top" wrapText="1"/>
    </xf>
    <xf numFmtId="0" fontId="89" fillId="0" borderId="2" xfId="16" applyFont="1" applyBorder="1" applyAlignment="1">
      <alignment vertical="top" wrapText="1"/>
    </xf>
    <xf numFmtId="0" fontId="35" fillId="0" borderId="9" xfId="0" applyFont="1" applyBorder="1" applyAlignment="1">
      <alignment horizontal="left" vertical="top" wrapText="1"/>
    </xf>
    <xf numFmtId="0" fontId="35" fillId="0" borderId="3" xfId="0" applyFont="1" applyBorder="1" applyAlignment="1">
      <alignment horizontal="left" vertical="top" wrapText="1"/>
    </xf>
    <xf numFmtId="0" fontId="35" fillId="0" borderId="10" xfId="0" applyFont="1" applyBorder="1" applyAlignment="1">
      <alignment horizontal="left" vertical="top" wrapText="1"/>
    </xf>
    <xf numFmtId="0" fontId="35" fillId="0" borderId="9" xfId="0" applyFont="1" applyBorder="1" applyAlignment="1">
      <alignment wrapText="1"/>
    </xf>
    <xf numFmtId="0" fontId="35" fillId="0" borderId="3" xfId="0" applyFont="1" applyBorder="1" applyAlignment="1">
      <alignment wrapText="1"/>
    </xf>
    <xf numFmtId="0" fontId="35" fillId="0" borderId="10" xfId="0" applyFont="1" applyBorder="1" applyAlignment="1">
      <alignment wrapText="1"/>
    </xf>
    <xf numFmtId="0" fontId="35" fillId="0" borderId="16" xfId="0" applyFont="1" applyBorder="1"/>
    <xf numFmtId="0" fontId="140" fillId="0" borderId="17" xfId="16" applyFont="1" applyBorder="1" applyAlignment="1">
      <alignment vertical="top" wrapText="1"/>
    </xf>
    <xf numFmtId="0" fontId="140" fillId="0" borderId="3" xfId="16" applyFont="1" applyBorder="1" applyAlignment="1">
      <alignment vertical="top" wrapText="1"/>
    </xf>
    <xf numFmtId="0" fontId="140" fillId="0" borderId="10" xfId="16" applyFont="1" applyBorder="1" applyAlignment="1">
      <alignment vertical="top" wrapText="1"/>
    </xf>
    <xf numFmtId="0" fontId="140" fillId="0" borderId="9" xfId="16" applyFont="1" applyBorder="1" applyAlignment="1">
      <alignment vertical="top" wrapText="1"/>
    </xf>
    <xf numFmtId="0" fontId="79" fillId="0" borderId="3" xfId="16" applyFont="1" applyBorder="1" applyAlignment="1">
      <alignment vertical="top" wrapText="1"/>
    </xf>
    <xf numFmtId="0" fontId="79" fillId="0" borderId="10" xfId="16" applyFont="1" applyBorder="1" applyAlignment="1">
      <alignment vertical="top" wrapText="1"/>
    </xf>
    <xf numFmtId="0" fontId="41" fillId="2" borderId="3" xfId="0" applyFont="1" applyFill="1" applyBorder="1" applyAlignment="1" applyProtection="1">
      <alignment horizontal="left" wrapText="1"/>
      <protection locked="0"/>
    </xf>
    <xf numFmtId="0" fontId="41" fillId="2" borderId="10" xfId="0" applyFont="1" applyFill="1" applyBorder="1" applyAlignment="1" applyProtection="1">
      <alignment horizontal="left" wrapText="1"/>
      <protection locked="0"/>
    </xf>
    <xf numFmtId="0" fontId="35" fillId="0" borderId="0" xfId="38" applyFont="1" applyAlignment="1">
      <alignment wrapText="1"/>
    </xf>
    <xf numFmtId="0" fontId="35" fillId="0" borderId="0" xfId="16" applyFont="1" applyAlignment="1">
      <alignment horizontal="left" wrapText="1"/>
    </xf>
    <xf numFmtId="0" fontId="35" fillId="0" borderId="0" xfId="38" applyFont="1" applyAlignment="1">
      <alignment horizontal="left" wrapText="1"/>
    </xf>
    <xf numFmtId="0" fontId="35" fillId="0" borderId="17" xfId="16" applyFont="1" applyBorder="1" applyAlignment="1">
      <alignment vertical="top" wrapText="1"/>
    </xf>
    <xf numFmtId="0" fontId="89" fillId="0" borderId="16" xfId="16" applyFont="1" applyBorder="1" applyAlignment="1">
      <alignment vertical="top" wrapText="1"/>
    </xf>
    <xf numFmtId="0" fontId="89" fillId="0" borderId="18" xfId="16" applyFont="1" applyBorder="1" applyAlignment="1">
      <alignment vertical="top" wrapText="1"/>
    </xf>
    <xf numFmtId="0" fontId="35" fillId="0" borderId="11"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27" fillId="2" borderId="17" xfId="20"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0" borderId="0" xfId="20" applyFont="1" applyAlignment="1">
      <alignment wrapText="1"/>
    </xf>
    <xf numFmtId="0" fontId="8" fillId="2" borderId="9" xfId="20" applyFont="1" applyFill="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180" fontId="0" fillId="0" borderId="2" xfId="0" applyNumberFormat="1" applyBorder="1" applyAlignment="1" applyProtection="1">
      <alignment wrapText="1"/>
      <protection locked="0"/>
    </xf>
    <xf numFmtId="0" fontId="0" fillId="0" borderId="2" xfId="0" applyBorder="1" applyAlignment="1">
      <alignment wrapText="1"/>
    </xf>
    <xf numFmtId="0" fontId="0" fillId="0" borderId="2" xfId="0" applyBorder="1" applyAlignment="1" applyProtection="1">
      <alignment wrapText="1"/>
      <protection locked="0"/>
    </xf>
    <xf numFmtId="181" fontId="0" fillId="0" borderId="2" xfId="0" applyNumberFormat="1" applyBorder="1" applyAlignment="1" applyProtection="1">
      <alignment wrapText="1"/>
      <protection locked="0"/>
    </xf>
    <xf numFmtId="0" fontId="25" fillId="0" borderId="0" xfId="0" applyFont="1" applyAlignment="1">
      <alignment horizontal="left" wrapText="1"/>
    </xf>
    <xf numFmtId="0" fontId="9" fillId="0" borderId="0" xfId="20" applyFont="1" applyAlignment="1">
      <alignment horizontal="center" vertical="top" wrapText="1"/>
    </xf>
    <xf numFmtId="0" fontId="65" fillId="2" borderId="2" xfId="0" applyFont="1" applyFill="1" applyBorder="1" applyAlignment="1" applyProtection="1">
      <alignment horizontal="left" wrapText="1"/>
      <protection locked="0"/>
    </xf>
    <xf numFmtId="180" fontId="34" fillId="2" borderId="2" xfId="0" applyNumberFormat="1" applyFont="1" applyFill="1" applyBorder="1" applyAlignment="1" applyProtection="1">
      <alignment horizontal="left" wrapText="1"/>
      <protection locked="0"/>
    </xf>
    <xf numFmtId="0" fontId="34" fillId="0" borderId="2" xfId="0" applyFont="1" applyBorder="1" applyAlignment="1">
      <alignment horizontal="left" wrapText="1"/>
    </xf>
    <xf numFmtId="0" fontId="34" fillId="0" borderId="9" xfId="0" applyFont="1" applyBorder="1" applyAlignment="1">
      <alignment horizontal="left" wrapText="1"/>
    </xf>
    <xf numFmtId="0" fontId="34" fillId="0" borderId="3" xfId="0" applyFont="1" applyBorder="1" applyAlignment="1">
      <alignment horizontal="left" wrapText="1"/>
    </xf>
    <xf numFmtId="0" fontId="34" fillId="0" borderId="10" xfId="0" applyFont="1" applyBorder="1" applyAlignment="1">
      <alignment horizontal="left" wrapText="1"/>
    </xf>
    <xf numFmtId="0" fontId="34" fillId="2" borderId="2" xfId="0" applyFont="1" applyFill="1" applyBorder="1" applyAlignment="1" applyProtection="1">
      <alignment horizontal="left" wrapText="1"/>
      <protection locked="0"/>
    </xf>
    <xf numFmtId="181" fontId="34" fillId="2" borderId="2" xfId="0" applyNumberFormat="1" applyFont="1" applyFill="1" applyBorder="1" applyAlignment="1" applyProtection="1">
      <alignment horizontal="left" wrapText="1"/>
      <protection locked="0"/>
    </xf>
    <xf numFmtId="0" fontId="25" fillId="0" borderId="9" xfId="0" applyFont="1" applyBorder="1" applyAlignment="1">
      <alignment horizontal="left" vertical="top" wrapText="1"/>
    </xf>
    <xf numFmtId="0" fontId="25" fillId="0" borderId="3" xfId="0" applyFont="1" applyBorder="1" applyAlignment="1">
      <alignment horizontal="left" vertical="top" wrapText="1"/>
    </xf>
    <xf numFmtId="0" fontId="25" fillId="0" borderId="10" xfId="0" applyFont="1" applyBorder="1" applyAlignment="1">
      <alignment horizontal="left" vertical="top" wrapText="1"/>
    </xf>
    <xf numFmtId="0" fontId="25" fillId="0" borderId="17" xfId="9" applyFont="1" applyBorder="1" applyAlignment="1">
      <alignment horizontal="left" wrapText="1"/>
    </xf>
    <xf numFmtId="0" fontId="0" fillId="0" borderId="16" xfId="0" applyBorder="1"/>
    <xf numFmtId="0" fontId="0" fillId="0" borderId="18" xfId="0" applyBorder="1"/>
    <xf numFmtId="0" fontId="25" fillId="2" borderId="2" xfId="17" applyFont="1" applyFill="1" applyBorder="1" applyAlignment="1" applyProtection="1">
      <alignment horizontal="left" vertical="top" wrapText="1"/>
      <protection locked="0"/>
    </xf>
    <xf numFmtId="0" fontId="25" fillId="2" borderId="2" xfId="17" applyFont="1" applyFill="1" applyBorder="1" applyAlignment="1" applyProtection="1">
      <alignment wrapText="1"/>
      <protection locked="0"/>
    </xf>
    <xf numFmtId="0" fontId="34" fillId="0" borderId="0" xfId="21" applyFont="1" applyAlignment="1">
      <alignment horizontal="left" wrapText="1"/>
    </xf>
    <xf numFmtId="0" fontId="25" fillId="0" borderId="2" xfId="38" applyFont="1" applyBorder="1" applyAlignment="1">
      <alignment horizontal="left" vertical="top" wrapText="1"/>
    </xf>
    <xf numFmtId="0" fontId="24" fillId="0" borderId="2" xfId="38" applyFont="1" applyBorder="1" applyAlignment="1">
      <alignment horizontal="left" vertical="top" wrapText="1"/>
    </xf>
    <xf numFmtId="0" fontId="24" fillId="0" borderId="17" xfId="0" applyFont="1" applyBorder="1" applyAlignment="1">
      <alignment horizontal="left" vertical="top" wrapText="1"/>
    </xf>
    <xf numFmtId="0" fontId="24" fillId="0" borderId="16" xfId="0" applyFont="1" applyBorder="1" applyAlignment="1">
      <alignment horizontal="left" vertical="top" wrapText="1"/>
    </xf>
    <xf numFmtId="0" fontId="24" fillId="0" borderId="18"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9" xfId="0" applyFont="1" applyBorder="1" applyAlignment="1">
      <alignment horizontal="left" vertical="top" wrapText="1"/>
    </xf>
    <xf numFmtId="0" fontId="24" fillId="0" borderId="3" xfId="0" applyFont="1" applyBorder="1" applyAlignment="1">
      <alignment horizontal="left" vertical="top" wrapText="1"/>
    </xf>
    <xf numFmtId="0" fontId="24" fillId="0" borderId="10" xfId="0" applyFont="1" applyBorder="1" applyAlignment="1">
      <alignment horizontal="left" vertical="top" wrapText="1"/>
    </xf>
    <xf numFmtId="0" fontId="25" fillId="0" borderId="19" xfId="0" applyFont="1" applyBorder="1" applyAlignment="1">
      <alignment horizontal="left" vertical="top" wrapText="1"/>
    </xf>
    <xf numFmtId="0" fontId="25" fillId="0" borderId="0" xfId="0" applyFont="1" applyAlignment="1">
      <alignment horizontal="left" vertical="top" wrapText="1"/>
    </xf>
    <xf numFmtId="0" fontId="25" fillId="0" borderId="20" xfId="0" applyFont="1" applyBorder="1" applyAlignment="1">
      <alignment horizontal="left" vertical="top" wrapText="1"/>
    </xf>
    <xf numFmtId="0" fontId="25" fillId="0" borderId="11" xfId="0" applyFont="1" applyBorder="1" applyAlignment="1">
      <alignment horizontal="left" vertical="top" wrapText="1"/>
    </xf>
    <xf numFmtId="0" fontId="25" fillId="0" borderId="13"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5" fillId="0" borderId="11" xfId="9" applyFont="1" applyBorder="1" applyAlignment="1">
      <alignment horizontal="left" wrapText="1"/>
    </xf>
    <xf numFmtId="0" fontId="0" fillId="0" borderId="12" xfId="0" applyBorder="1"/>
    <xf numFmtId="0" fontId="0" fillId="0" borderId="13" xfId="0" applyBorder="1"/>
    <xf numFmtId="0" fontId="24" fillId="0" borderId="2" xfId="18" applyFont="1" applyBorder="1" applyAlignment="1">
      <alignment horizontal="left" vertical="top" wrapText="1"/>
    </xf>
    <xf numFmtId="3" fontId="24" fillId="0" borderId="2" xfId="18" applyNumberFormat="1" applyFont="1" applyBorder="1" applyAlignment="1">
      <alignment horizontal="left" vertical="top" wrapText="1"/>
    </xf>
    <xf numFmtId="0" fontId="9" fillId="0" borderId="0" xfId="0" applyFont="1" applyAlignment="1">
      <alignment wrapText="1"/>
    </xf>
    <xf numFmtId="0" fontId="9" fillId="0" borderId="2" xfId="0" applyFont="1" applyBorder="1" applyAlignment="1">
      <alignment wrapText="1"/>
    </xf>
  </cellXfs>
  <cellStyles count="208">
    <cellStyle name="Comma" xfId="1" builtinId="3"/>
    <cellStyle name="Comma 2" xfId="44" xr:uid="{00000000-0005-0000-0000-000001000000}"/>
    <cellStyle name="Comma 2 2" xfId="73" xr:uid="{00000000-0005-0000-0000-000002000000}"/>
    <cellStyle name="Comma 2 2 2" xfId="135" xr:uid="{00000000-0005-0000-0000-000003000000}"/>
    <cellStyle name="Comma 2 2 3" xfId="147" xr:uid="{00000000-0005-0000-0000-000004000000}"/>
    <cellStyle name="Comma 3" xfId="66" xr:uid="{00000000-0005-0000-0000-000005000000}"/>
    <cellStyle name="Comma 3 2" xfId="98" xr:uid="{00000000-0005-0000-0000-000006000000}"/>
    <cellStyle name="Comma 3 2 2" xfId="107" xr:uid="{00000000-0005-0000-0000-000007000000}"/>
    <cellStyle name="Comma 3 2 3" xfId="148" xr:uid="{00000000-0005-0000-0000-000008000000}"/>
    <cellStyle name="Comma 3 3" xfId="104" xr:uid="{00000000-0005-0000-0000-000009000000}"/>
    <cellStyle name="Comma 3 4" xfId="84" xr:uid="{00000000-0005-0000-0000-00000A000000}"/>
    <cellStyle name="Comma 4" xfId="68" xr:uid="{00000000-0005-0000-0000-00000B000000}"/>
    <cellStyle name="Comma 4 2" xfId="108" xr:uid="{00000000-0005-0000-0000-00000C000000}"/>
    <cellStyle name="Comma 4 2 2" xfId="150" xr:uid="{00000000-0005-0000-0000-00000D000000}"/>
    <cellStyle name="Comma 4 2 3" xfId="151" xr:uid="{00000000-0005-0000-0000-00000E000000}"/>
    <cellStyle name="Comma 4 3" xfId="152" xr:uid="{00000000-0005-0000-0000-00000F000000}"/>
    <cellStyle name="Comma 4 4" xfId="153" xr:uid="{00000000-0005-0000-0000-000010000000}"/>
    <cellStyle name="Comma 4 5" xfId="154" xr:uid="{00000000-0005-0000-0000-000011000000}"/>
    <cellStyle name="Comma 4 6" xfId="155" xr:uid="{00000000-0005-0000-0000-000012000000}"/>
    <cellStyle name="Comma 4 7" xfId="149" xr:uid="{00000000-0005-0000-0000-000013000000}"/>
    <cellStyle name="Comma 5" xfId="156" xr:uid="{00000000-0005-0000-0000-000014000000}"/>
    <cellStyle name="Comma 5 2" xfId="157" xr:uid="{00000000-0005-0000-0000-000015000000}"/>
    <cellStyle name="Comma 5 3" xfId="144" xr:uid="{00000000-0005-0000-0000-000016000000}"/>
    <cellStyle name="Comma 6" xfId="145" xr:uid="{00000000-0005-0000-0000-000017000000}"/>
    <cellStyle name="Comma0" xfId="2" xr:uid="{00000000-0005-0000-0000-000018000000}"/>
    <cellStyle name="Currency" xfId="40" builtinId="4"/>
    <cellStyle name="Currency 2" xfId="132" xr:uid="{00000000-0005-0000-0000-00001A000000}"/>
    <cellStyle name="Currency 2 2" xfId="159" xr:uid="{00000000-0005-0000-0000-00001B000000}"/>
    <cellStyle name="Currency 2 2 2" xfId="160" xr:uid="{00000000-0005-0000-0000-00001C000000}"/>
    <cellStyle name="Currency 2 3" xfId="161" xr:uid="{00000000-0005-0000-0000-00001D000000}"/>
    <cellStyle name="Currency 2 4" xfId="162" xr:uid="{00000000-0005-0000-0000-00001E000000}"/>
    <cellStyle name="Currency 2 5" xfId="163" xr:uid="{00000000-0005-0000-0000-00001F000000}"/>
    <cellStyle name="Currency 2 6" xfId="164" xr:uid="{00000000-0005-0000-0000-000020000000}"/>
    <cellStyle name="Currency 2 7" xfId="158" xr:uid="{00000000-0005-0000-0000-000021000000}"/>
    <cellStyle name="Currency 3" xfId="165" xr:uid="{00000000-0005-0000-0000-000022000000}"/>
    <cellStyle name="Currency 4" xfId="166" xr:uid="{00000000-0005-0000-0000-000023000000}"/>
    <cellStyle name="Currency 5" xfId="167" xr:uid="{00000000-0005-0000-0000-000024000000}"/>
    <cellStyle name="Currency0" xfId="3" xr:uid="{00000000-0005-0000-0000-000025000000}"/>
    <cellStyle name="Date" xfId="4" xr:uid="{00000000-0005-0000-0000-000026000000}"/>
    <cellStyle name="Fixed" xfId="5" xr:uid="{00000000-0005-0000-0000-000027000000}"/>
    <cellStyle name="Heading 1" xfId="6" builtinId="16" customBuiltin="1"/>
    <cellStyle name="Heading 1 2" xfId="45" xr:uid="{00000000-0005-0000-0000-000029000000}"/>
    <cellStyle name="Heading 1 3" xfId="109" xr:uid="{00000000-0005-0000-0000-00002A000000}"/>
    <cellStyle name="Heading 2" xfId="7" builtinId="17" customBuiltin="1"/>
    <cellStyle name="Heading 2 2" xfId="46" xr:uid="{00000000-0005-0000-0000-00002C000000}"/>
    <cellStyle name="Heading 2 3" xfId="110" xr:uid="{00000000-0005-0000-0000-00002D000000}"/>
    <cellStyle name="Hyperlink" xfId="8" builtinId="8"/>
    <cellStyle name="Hyperlink 2" xfId="111" xr:uid="{00000000-0005-0000-0000-00002F000000}"/>
    <cellStyle name="Hyperlink 3" xfId="112" xr:uid="{00000000-0005-0000-0000-000030000000}"/>
    <cellStyle name="Normal" xfId="0" builtinId="0"/>
    <cellStyle name="Normal 10" xfId="168" xr:uid="{00000000-0005-0000-0000-000032000000}"/>
    <cellStyle name="Normal 10 2" xfId="206" xr:uid="{00000000-0005-0000-0000-000033000000}"/>
    <cellStyle name="Normal 11" xfId="169" xr:uid="{00000000-0005-0000-0000-000034000000}"/>
    <cellStyle name="Normal 2" xfId="38" xr:uid="{00000000-0005-0000-0000-000035000000}"/>
    <cellStyle name="Normal 2 2" xfId="71" xr:uid="{00000000-0005-0000-0000-000036000000}"/>
    <cellStyle name="Normal 2 2 2" xfId="114" xr:uid="{00000000-0005-0000-0000-000037000000}"/>
    <cellStyle name="Normal 2 2 2 2" xfId="170" xr:uid="{00000000-0005-0000-0000-000038000000}"/>
    <cellStyle name="Normal 2 2 2 3" xfId="171" xr:uid="{00000000-0005-0000-0000-000039000000}"/>
    <cellStyle name="Normal 2 2 3" xfId="113" xr:uid="{00000000-0005-0000-0000-00003A000000}"/>
    <cellStyle name="Normal 2 2 4" xfId="172" xr:uid="{00000000-0005-0000-0000-00003B000000}"/>
    <cellStyle name="Normal 2 3" xfId="173" xr:uid="{00000000-0005-0000-0000-00003C000000}"/>
    <cellStyle name="Normal 3" xfId="36" xr:uid="{00000000-0005-0000-0000-00003D000000}"/>
    <cellStyle name="Normal 3 2" xfId="72" xr:uid="{00000000-0005-0000-0000-00003E000000}"/>
    <cellStyle name="Normal 3 2 2" xfId="115" xr:uid="{00000000-0005-0000-0000-00003F000000}"/>
    <cellStyle name="Normal 3 2 2 2" xfId="137" xr:uid="{00000000-0005-0000-0000-000040000000}"/>
    <cellStyle name="Normal 3 2 3" xfId="134" xr:uid="{00000000-0005-0000-0000-000041000000}"/>
    <cellStyle name="Normal 3 3" xfId="116" xr:uid="{00000000-0005-0000-0000-000042000000}"/>
    <cellStyle name="Normal 3 3 2" xfId="174" xr:uid="{00000000-0005-0000-0000-000043000000}"/>
    <cellStyle name="Normal 3 3 3" xfId="175" xr:uid="{00000000-0005-0000-0000-000044000000}"/>
    <cellStyle name="Normal 3 4" xfId="117" xr:uid="{00000000-0005-0000-0000-000045000000}"/>
    <cellStyle name="Normal 3 4 2" xfId="176" xr:uid="{00000000-0005-0000-0000-000046000000}"/>
    <cellStyle name="Normal 3 4 3" xfId="177" xr:uid="{00000000-0005-0000-0000-000047000000}"/>
    <cellStyle name="Normal 3 5" xfId="118" xr:uid="{00000000-0005-0000-0000-000048000000}"/>
    <cellStyle name="Normal 3 6" xfId="106" xr:uid="{00000000-0005-0000-0000-000049000000}"/>
    <cellStyle name="Normal 4" xfId="43" xr:uid="{00000000-0005-0000-0000-00004A000000}"/>
    <cellStyle name="Normal 4 2" xfId="48" xr:uid="{00000000-0005-0000-0000-00004B000000}"/>
    <cellStyle name="Normal 4 2 2" xfId="50" xr:uid="{00000000-0005-0000-0000-00004C000000}"/>
    <cellStyle name="Normal 4 2 2 2" xfId="55" xr:uid="{00000000-0005-0000-0000-00004D000000}"/>
    <cellStyle name="Normal 4 2 2 2 2" xfId="90" xr:uid="{00000000-0005-0000-0000-00004E000000}"/>
    <cellStyle name="Normal 4 2 2 3" xfId="60" xr:uid="{00000000-0005-0000-0000-00004F000000}"/>
    <cellStyle name="Normal 4 2 2 3 2" xfId="121" xr:uid="{00000000-0005-0000-0000-000050000000}"/>
    <cellStyle name="Normal 4 2 2 4" xfId="78" xr:uid="{00000000-0005-0000-0000-000051000000}"/>
    <cellStyle name="Normal 4 2 3" xfId="53" xr:uid="{00000000-0005-0000-0000-000052000000}"/>
    <cellStyle name="Normal 4 2 3 2" xfId="63" xr:uid="{00000000-0005-0000-0000-000053000000}"/>
    <cellStyle name="Normal 4 2 3 2 2" xfId="92" xr:uid="{00000000-0005-0000-0000-000054000000}"/>
    <cellStyle name="Normal 4 2 3 3" xfId="122" xr:uid="{00000000-0005-0000-0000-000055000000}"/>
    <cellStyle name="Normal 4 2 3 4" xfId="81" xr:uid="{00000000-0005-0000-0000-000056000000}"/>
    <cellStyle name="Normal 4 2 4" xfId="58" xr:uid="{00000000-0005-0000-0000-000057000000}"/>
    <cellStyle name="Normal 4 2 4 2" xfId="120" xr:uid="{00000000-0005-0000-0000-000058000000}"/>
    <cellStyle name="Normal 4 2 4 3" xfId="95" xr:uid="{00000000-0005-0000-0000-000059000000}"/>
    <cellStyle name="Normal 4 2 5" xfId="87" xr:uid="{00000000-0005-0000-0000-00005A000000}"/>
    <cellStyle name="Normal 4 2 5 2" xfId="178" xr:uid="{00000000-0005-0000-0000-00005B000000}"/>
    <cellStyle name="Normal 4 2 6" xfId="101" xr:uid="{00000000-0005-0000-0000-00005C000000}"/>
    <cellStyle name="Normal 4 2 7" xfId="76" xr:uid="{00000000-0005-0000-0000-00005D000000}"/>
    <cellStyle name="Normal 4 3" xfId="49" xr:uid="{00000000-0005-0000-0000-00005E000000}"/>
    <cellStyle name="Normal 4 3 2" xfId="54" xr:uid="{00000000-0005-0000-0000-00005F000000}"/>
    <cellStyle name="Normal 4 3 2 2" xfId="124" xr:uid="{00000000-0005-0000-0000-000060000000}"/>
    <cellStyle name="Normal 4 3 2 3" xfId="88" xr:uid="{00000000-0005-0000-0000-000061000000}"/>
    <cellStyle name="Normal 4 3 3" xfId="59" xr:uid="{00000000-0005-0000-0000-000062000000}"/>
    <cellStyle name="Normal 4 3 3 2" xfId="123" xr:uid="{00000000-0005-0000-0000-000063000000}"/>
    <cellStyle name="Normal 4 3 4" xfId="77" xr:uid="{00000000-0005-0000-0000-000064000000}"/>
    <cellStyle name="Normal 4 3 5" xfId="179" xr:uid="{00000000-0005-0000-0000-000065000000}"/>
    <cellStyle name="Normal 4 4" xfId="52" xr:uid="{00000000-0005-0000-0000-000066000000}"/>
    <cellStyle name="Normal 4 4 2" xfId="62" xr:uid="{00000000-0005-0000-0000-000067000000}"/>
    <cellStyle name="Normal 4 4 2 2" xfId="89" xr:uid="{00000000-0005-0000-0000-000068000000}"/>
    <cellStyle name="Normal 4 4 2 3" xfId="136" xr:uid="{00000000-0005-0000-0000-000069000000}"/>
    <cellStyle name="Normal 4 4 3" xfId="125" xr:uid="{00000000-0005-0000-0000-00006A000000}"/>
    <cellStyle name="Normal 4 4 4" xfId="80" xr:uid="{00000000-0005-0000-0000-00006B000000}"/>
    <cellStyle name="Normal 4 5" xfId="57" xr:uid="{00000000-0005-0000-0000-00006C000000}"/>
    <cellStyle name="Normal 4 5 2" xfId="119" xr:uid="{00000000-0005-0000-0000-00006D000000}"/>
    <cellStyle name="Normal 4 5 3" xfId="91" xr:uid="{00000000-0005-0000-0000-00006E000000}"/>
    <cellStyle name="Normal 4 6" xfId="94" xr:uid="{00000000-0005-0000-0000-00006F000000}"/>
    <cellStyle name="Normal 4 6 2" xfId="180" xr:uid="{00000000-0005-0000-0000-000070000000}"/>
    <cellStyle name="Normal 4 7" xfId="86" xr:uid="{00000000-0005-0000-0000-000071000000}"/>
    <cellStyle name="Normal 4 8" xfId="100" xr:uid="{00000000-0005-0000-0000-000072000000}"/>
    <cellStyle name="Normal 4 9" xfId="75" xr:uid="{00000000-0005-0000-0000-000073000000}"/>
    <cellStyle name="Normal 5" xfId="51" xr:uid="{00000000-0005-0000-0000-000074000000}"/>
    <cellStyle name="Normal 5 2" xfId="56" xr:uid="{00000000-0005-0000-0000-000075000000}"/>
    <cellStyle name="Normal 5 2 2" xfId="64" xr:uid="{00000000-0005-0000-0000-000076000000}"/>
    <cellStyle name="Normal 5 2 2 2" xfId="96" xr:uid="{00000000-0005-0000-0000-000077000000}"/>
    <cellStyle name="Normal 5 2 3" xfId="127" xr:uid="{00000000-0005-0000-0000-000078000000}"/>
    <cellStyle name="Normal 5 2 4" xfId="82" xr:uid="{00000000-0005-0000-0000-000079000000}"/>
    <cellStyle name="Normal 5 3" xfId="61" xr:uid="{00000000-0005-0000-0000-00007A000000}"/>
    <cellStyle name="Normal 5 3 2" xfId="126" xr:uid="{00000000-0005-0000-0000-00007B000000}"/>
    <cellStyle name="Normal 5 3 3" xfId="93" xr:uid="{00000000-0005-0000-0000-00007C000000}"/>
    <cellStyle name="Normal 5 4" xfId="102" xr:uid="{00000000-0005-0000-0000-00007D000000}"/>
    <cellStyle name="Normal 5 5" xfId="79" xr:uid="{00000000-0005-0000-0000-00007E000000}"/>
    <cellStyle name="Normal 6" xfId="65" xr:uid="{00000000-0005-0000-0000-00007F000000}"/>
    <cellStyle name="Normal 6 2" xfId="97" xr:uid="{00000000-0005-0000-0000-000080000000}"/>
    <cellStyle name="Normal 6 2 2" xfId="128" xr:uid="{00000000-0005-0000-0000-000081000000}"/>
    <cellStyle name="Normal 6 2 3" xfId="181" xr:uid="{00000000-0005-0000-0000-000082000000}"/>
    <cellStyle name="Normal 6 3" xfId="103" xr:uid="{00000000-0005-0000-0000-000083000000}"/>
    <cellStyle name="Normal 6 4" xfId="83" xr:uid="{00000000-0005-0000-0000-000084000000}"/>
    <cellStyle name="Normal 7" xfId="67" xr:uid="{00000000-0005-0000-0000-000085000000}"/>
    <cellStyle name="Normal 7 2" xfId="99" xr:uid="{00000000-0005-0000-0000-000086000000}"/>
    <cellStyle name="Normal 7 2 2" xfId="182" xr:uid="{00000000-0005-0000-0000-000087000000}"/>
    <cellStyle name="Normal 7 3" xfId="129" xr:uid="{00000000-0005-0000-0000-000088000000}"/>
    <cellStyle name="Normal 7 3 2" xfId="183" xr:uid="{00000000-0005-0000-0000-000089000000}"/>
    <cellStyle name="Normal 7 4" xfId="85" xr:uid="{00000000-0005-0000-0000-00008A000000}"/>
    <cellStyle name="Normal 7 4 2" xfId="184" xr:uid="{00000000-0005-0000-0000-00008B000000}"/>
    <cellStyle name="Normal 7 5" xfId="133" xr:uid="{00000000-0005-0000-0000-00008C000000}"/>
    <cellStyle name="Normal 7 5 2" xfId="185" xr:uid="{00000000-0005-0000-0000-00008D000000}"/>
    <cellStyle name="Normal 8" xfId="105" xr:uid="{00000000-0005-0000-0000-00008E000000}"/>
    <cellStyle name="Normal 8 2" xfId="140" xr:uid="{00000000-0005-0000-0000-00008F000000}"/>
    <cellStyle name="Normal 8 2 2" xfId="186" xr:uid="{00000000-0005-0000-0000-000090000000}"/>
    <cellStyle name="Normal 8 3" xfId="187" xr:uid="{00000000-0005-0000-0000-000091000000}"/>
    <cellStyle name="Normal 8 4" xfId="188" xr:uid="{00000000-0005-0000-0000-000092000000}"/>
    <cellStyle name="Normal 8 5" xfId="189" xr:uid="{00000000-0005-0000-0000-000093000000}"/>
    <cellStyle name="Normal 8 6" xfId="190" xr:uid="{00000000-0005-0000-0000-000094000000}"/>
    <cellStyle name="Normal 8 7" xfId="138" xr:uid="{00000000-0005-0000-0000-000095000000}"/>
    <cellStyle name="Normal 9" xfId="139" xr:uid="{00000000-0005-0000-0000-000096000000}"/>
    <cellStyle name="Normal 9 2" xfId="191" xr:uid="{00000000-0005-0000-0000-000097000000}"/>
    <cellStyle name="Normal 9 2 2" xfId="142" xr:uid="{00000000-0005-0000-0000-000098000000}"/>
    <cellStyle name="Normal 9 2 2 2" xfId="207" xr:uid="{00000000-0005-0000-0000-000099000000}"/>
    <cellStyle name="Normal 9 3" xfId="192" xr:uid="{00000000-0005-0000-0000-00009A000000}"/>
    <cellStyle name="Normal 9 4" xfId="141" xr:uid="{00000000-0005-0000-0000-00009B000000}"/>
    <cellStyle name="Normal_Att HE-14-Cash" xfId="9" xr:uid="{00000000-0005-0000-0000-00009C000000}"/>
    <cellStyle name="Normal_Att_B" xfId="10" xr:uid="{00000000-0005-0000-0000-00009D000000}"/>
    <cellStyle name="Normal_Att_C" xfId="11" xr:uid="{00000000-0005-0000-0000-00009E000000}"/>
    <cellStyle name="Normal_Att_E" xfId="12" xr:uid="{00000000-0005-0000-0000-00009F000000}"/>
    <cellStyle name="Normal_Att17" xfId="13" xr:uid="{00000000-0005-0000-0000-0000A0000000}"/>
    <cellStyle name="Normal_Att20" xfId="143" xr:uid="{00000000-0005-0000-0000-0000A1000000}"/>
    <cellStyle name="Normal_Att22 Cash" xfId="146" xr:uid="{00000000-0005-0000-0000-0000A2000000}"/>
    <cellStyle name="Normal_Att9" xfId="14" xr:uid="{00000000-0005-0000-0000-0000A3000000}"/>
    <cellStyle name="Normal_Attachment HE-9, ETF 99 &amp; later" xfId="15" xr:uid="{00000000-0005-0000-0000-0000A4000000}"/>
    <cellStyle name="Normal_Book2" xfId="16" xr:uid="{00000000-0005-0000-0000-0000A5000000}"/>
    <cellStyle name="Normal_Certification tab (version 2)" xfId="17" xr:uid="{00000000-0005-0000-0000-0000A6000000}"/>
    <cellStyle name="Normal_Certification tab (version 2) 2" xfId="41" xr:uid="{00000000-0005-0000-0000-0000A7000000}"/>
    <cellStyle name="Normal_Copy of Certification tab (version 2)" xfId="18" xr:uid="{00000000-0005-0000-0000-0000A8000000}"/>
    <cellStyle name="Normal_federal_schedules" xfId="19" xr:uid="{00000000-0005-0000-0000-0000A9000000}"/>
    <cellStyle name="Normal_Property, Plant &amp; Equipment" xfId="20" xr:uid="{00000000-0005-0000-0000-0000AA000000}"/>
    <cellStyle name="Normal_Property, Plant &amp; Equipment 2" xfId="42" xr:uid="{00000000-0005-0000-0000-0000AB000000}"/>
    <cellStyle name="Normal_Receivables" xfId="21" xr:uid="{00000000-0005-0000-0000-0000AC000000}"/>
    <cellStyle name="Normal_Receivables 2" xfId="74" xr:uid="{00000000-0005-0000-0000-0000AD000000}"/>
    <cellStyle name="Normal_Sheet1" xfId="39" xr:uid="{00000000-0005-0000-0000-0000AE000000}"/>
    <cellStyle name="Normal_Sheet2" xfId="22" xr:uid="{00000000-0005-0000-0000-0000AF000000}"/>
    <cellStyle name="Number0DecimalStyle" xfId="23" xr:uid="{00000000-0005-0000-0000-0000B0000000}"/>
    <cellStyle name="Number0DecimalStyle 2" xfId="193" xr:uid="{00000000-0005-0000-0000-0000B1000000}"/>
    <cellStyle name="Number10DecimalStyle" xfId="24" xr:uid="{00000000-0005-0000-0000-0000B2000000}"/>
    <cellStyle name="Number10DecimalStyle 2" xfId="194" xr:uid="{00000000-0005-0000-0000-0000B3000000}"/>
    <cellStyle name="Number1DecimalStyle" xfId="25" xr:uid="{00000000-0005-0000-0000-0000B4000000}"/>
    <cellStyle name="Number1DecimalStyle 2" xfId="195" xr:uid="{00000000-0005-0000-0000-0000B5000000}"/>
    <cellStyle name="Number2DecimalStyle" xfId="26" xr:uid="{00000000-0005-0000-0000-0000B6000000}"/>
    <cellStyle name="Number2DecimalStyle 2" xfId="196" xr:uid="{00000000-0005-0000-0000-0000B7000000}"/>
    <cellStyle name="Number3DecimalStyle" xfId="27" xr:uid="{00000000-0005-0000-0000-0000B8000000}"/>
    <cellStyle name="Number3DecimalStyle 2" xfId="197" xr:uid="{00000000-0005-0000-0000-0000B9000000}"/>
    <cellStyle name="Number4DecimalStyle" xfId="28" xr:uid="{00000000-0005-0000-0000-0000BA000000}"/>
    <cellStyle name="Number4DecimalStyle 2" xfId="198" xr:uid="{00000000-0005-0000-0000-0000BB000000}"/>
    <cellStyle name="Number5DecimalStyle" xfId="29" xr:uid="{00000000-0005-0000-0000-0000BC000000}"/>
    <cellStyle name="Number5DecimalStyle 2" xfId="199" xr:uid="{00000000-0005-0000-0000-0000BD000000}"/>
    <cellStyle name="Number6DecimalStyle" xfId="30" xr:uid="{00000000-0005-0000-0000-0000BE000000}"/>
    <cellStyle name="Number6DecimalStyle 2" xfId="200" xr:uid="{00000000-0005-0000-0000-0000BF000000}"/>
    <cellStyle name="Number7DecimalStyle" xfId="31" xr:uid="{00000000-0005-0000-0000-0000C0000000}"/>
    <cellStyle name="Number7DecimalStyle 2" xfId="201" xr:uid="{00000000-0005-0000-0000-0000C1000000}"/>
    <cellStyle name="Number8DecimalStyle" xfId="32" xr:uid="{00000000-0005-0000-0000-0000C2000000}"/>
    <cellStyle name="Number8DecimalStyle 2" xfId="202" xr:uid="{00000000-0005-0000-0000-0000C3000000}"/>
    <cellStyle name="Number9DecimalStyle" xfId="33" xr:uid="{00000000-0005-0000-0000-0000C4000000}"/>
    <cellStyle name="Number9DecimalStyle 2" xfId="203" xr:uid="{00000000-0005-0000-0000-0000C5000000}"/>
    <cellStyle name="Percent 2" xfId="37" xr:uid="{00000000-0005-0000-0000-0000C6000000}"/>
    <cellStyle name="Percent 2 2" xfId="204" xr:uid="{00000000-0005-0000-0000-0000C7000000}"/>
    <cellStyle name="Percent 3" xfId="69" xr:uid="{00000000-0005-0000-0000-0000C8000000}"/>
    <cellStyle name="Percent 3 2" xfId="130" xr:uid="{00000000-0005-0000-0000-0000C9000000}"/>
    <cellStyle name="Style 1" xfId="70" xr:uid="{00000000-0005-0000-0000-0000CA000000}"/>
    <cellStyle name="TextStyle" xfId="34" xr:uid="{00000000-0005-0000-0000-0000CB000000}"/>
    <cellStyle name="TextStyle 2" xfId="205" xr:uid="{00000000-0005-0000-0000-0000CC000000}"/>
    <cellStyle name="Total" xfId="35" builtinId="25" customBuiltin="1"/>
    <cellStyle name="Total 2" xfId="47" xr:uid="{00000000-0005-0000-0000-0000CE000000}"/>
    <cellStyle name="Total 3" xfId="131" xr:uid="{00000000-0005-0000-0000-0000CF000000}"/>
  </cellStyles>
  <dxfs count="30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4" tint="0.59996337778862885"/>
        </patternFill>
      </fill>
    </dxf>
    <dxf>
      <fill>
        <patternFill>
          <bgColor theme="8" tint="0.3999450666829432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fgColor theme="3" tint="0.59996337778862885"/>
          <bgColor theme="3" tint="0.59996337778862885"/>
        </patternFill>
      </fill>
    </dxf>
    <dxf>
      <fill>
        <patternFill>
          <fgColor theme="3" tint="0.59996337778862885"/>
        </patternFill>
      </fill>
    </dxf>
    <dxf>
      <fill>
        <patternFill>
          <bgColor theme="3" tint="0.59996337778862885"/>
        </patternFill>
      </fill>
    </dxf>
    <dxf>
      <font>
        <b/>
        <i val="0"/>
        <color rgb="FFFF0000"/>
      </font>
    </dxf>
    <dxf>
      <font>
        <b/>
        <i val="0"/>
        <color rgb="FFFF0000"/>
      </font>
    </dxf>
    <dxf>
      <font>
        <b/>
        <i val="0"/>
        <color rgb="FFFF0000"/>
      </font>
    </dxf>
    <dxf>
      <font>
        <b/>
        <i val="0"/>
        <color rgb="FFFF0000"/>
      </font>
    </dxf>
    <dxf>
      <font>
        <b/>
        <i val="0"/>
        <strike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C00000"/>
      </font>
    </dxf>
    <dxf>
      <font>
        <b/>
        <i val="0"/>
        <strike val="0"/>
        <color rgb="FFC00000"/>
      </font>
    </dxf>
    <dxf>
      <font>
        <b/>
        <i val="0"/>
        <color rgb="FFFF0000"/>
      </font>
    </dxf>
    <dxf>
      <font>
        <b/>
        <i val="0"/>
        <color rgb="FFFF0000"/>
      </font>
    </dxf>
    <dxf>
      <font>
        <b/>
        <i val="0"/>
        <color rgb="FFFF0000"/>
      </font>
    </dxf>
    <dxf>
      <font>
        <b/>
        <i val="0"/>
        <strike val="0"/>
        <color rgb="FFC00000"/>
      </font>
    </dxf>
    <dxf>
      <font>
        <b/>
        <i val="0"/>
        <strike val="0"/>
        <color rgb="FFC00000"/>
      </font>
    </dxf>
    <dxf>
      <font>
        <b/>
        <i val="0"/>
        <strike val="0"/>
        <color rgb="FFC0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color rgb="FFFF0000"/>
      </font>
    </dxf>
    <dxf>
      <font>
        <b/>
        <i val="0"/>
        <strike val="0"/>
        <color rgb="FFFF0000"/>
      </font>
    </dxf>
    <dxf>
      <font>
        <b/>
        <i val="0"/>
        <strike val="0"/>
        <color rgb="FFFF0000"/>
      </font>
    </dxf>
    <dxf>
      <font>
        <color rgb="FFFF0000"/>
      </font>
    </dxf>
    <dxf>
      <font>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color rgb="FFFF0000"/>
      </font>
    </dxf>
    <dxf>
      <font>
        <b/>
        <i val="0"/>
        <strike val="0"/>
        <color rgb="FFC00000"/>
      </font>
    </dxf>
    <dxf>
      <font>
        <b/>
        <i val="0"/>
        <strike val="0"/>
        <color rgb="FFC00000"/>
      </font>
    </dxf>
    <dxf>
      <font>
        <b/>
        <i val="0"/>
        <strike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s>
  <tableStyles count="1" defaultTableStyle="TableStyleMedium9" defaultPivotStyle="PivotStyleLight16">
    <tableStyle name="Invisible" pivot="0" table="0" count="0" xr9:uid="{05279640-078D-45FA-A07F-5787DBE65D4D}"/>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295275</xdr:colOff>
          <xdr:row>29</xdr:row>
          <xdr:rowOff>28575</xdr:rowOff>
        </xdr:from>
        <xdr:to>
          <xdr:col>10</xdr:col>
          <xdr:colOff>504825</xdr:colOff>
          <xdr:row>30</xdr:row>
          <xdr:rowOff>19050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1100-000036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32</xdr:row>
          <xdr:rowOff>28575</xdr:rowOff>
        </xdr:from>
        <xdr:to>
          <xdr:col>10</xdr:col>
          <xdr:colOff>504825</xdr:colOff>
          <xdr:row>33</xdr:row>
          <xdr:rowOff>9525</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1100-000037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35</xdr:row>
          <xdr:rowOff>28575</xdr:rowOff>
        </xdr:from>
        <xdr:to>
          <xdr:col>10</xdr:col>
          <xdr:colOff>504825</xdr:colOff>
          <xdr:row>36</xdr:row>
          <xdr:rowOff>9525</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1100-000038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38</xdr:row>
          <xdr:rowOff>28575</xdr:rowOff>
        </xdr:from>
        <xdr:to>
          <xdr:col>10</xdr:col>
          <xdr:colOff>504825</xdr:colOff>
          <xdr:row>39</xdr:row>
          <xdr:rowOff>9525</xdr:rowOff>
        </xdr:to>
        <xdr:sp macro="" textlink="">
          <xdr:nvSpPr>
            <xdr:cNvPr id="36921" name="Check Box 57" hidden="1">
              <a:extLst>
                <a:ext uri="{63B3BB69-23CF-44E3-9099-C40C66FF867C}">
                  <a14:compatExt spid="_x0000_s36921"/>
                </a:ext>
                <a:ext uri="{FF2B5EF4-FFF2-40B4-BE49-F238E27FC236}">
                  <a16:creationId xmlns:a16="http://schemas.microsoft.com/office/drawing/2014/main" id="{00000000-0008-0000-1100-000039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43</xdr:row>
          <xdr:rowOff>28575</xdr:rowOff>
        </xdr:from>
        <xdr:to>
          <xdr:col>10</xdr:col>
          <xdr:colOff>504825</xdr:colOff>
          <xdr:row>44</xdr:row>
          <xdr:rowOff>19050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1100-00003B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46</xdr:row>
          <xdr:rowOff>28575</xdr:rowOff>
        </xdr:from>
        <xdr:to>
          <xdr:col>10</xdr:col>
          <xdr:colOff>504825</xdr:colOff>
          <xdr:row>47</xdr:row>
          <xdr:rowOff>9525</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1100-00003C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49</xdr:row>
          <xdr:rowOff>28575</xdr:rowOff>
        </xdr:from>
        <xdr:to>
          <xdr:col>10</xdr:col>
          <xdr:colOff>504825</xdr:colOff>
          <xdr:row>50</xdr:row>
          <xdr:rowOff>9525</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1100-00003D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52</xdr:row>
          <xdr:rowOff>28575</xdr:rowOff>
        </xdr:from>
        <xdr:to>
          <xdr:col>10</xdr:col>
          <xdr:colOff>504825</xdr:colOff>
          <xdr:row>53</xdr:row>
          <xdr:rowOff>9525</xdr:rowOff>
        </xdr:to>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1100-00003E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Directive\Fiscal%202024\CU%20Directive\Ready%20For%20Review\AttCU4_FASB_Foundations.xlsx" TargetMode="External"/><Relationship Id="rId1" Type="http://schemas.openxmlformats.org/officeDocument/2006/relationships/externalLinkPath" Target="/Directive/Fiscal%202024/CU%20Directive/Ready%20For%20Review/AttCU4_FASB_Found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onent Unit Template"/>
      <sheetName val="Prior Year Amounts"/>
      <sheetName val="Template Flux"/>
      <sheetName val="Tab 1A - Detail Fdn"/>
      <sheetName val="Tab 1B-Cash Eq. &amp; Inv. Not w Tr"/>
      <sheetName val="Tab 2 - Receivables"/>
      <sheetName val="Tab 3 - Capital Assets"/>
      <sheetName val="Tab 4 - LT Liabilities"/>
      <sheetName val="Tab 4A - Short-term Debt"/>
      <sheetName val="Tab 5 - Commitments"/>
      <sheetName val="Tab 6 - Restatements"/>
      <sheetName val="Tab 7 - Net Inv in Cap Assets"/>
      <sheetName val="Certification"/>
      <sheetName val="Revision Control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printerSettings" Target="../printerSettings/printerSettings50.bin"/><Relationship Id="rId7" Type="http://schemas.openxmlformats.org/officeDocument/2006/relationships/vmlDrawing" Target="../drawings/vmlDrawing10.v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11.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printerSettings" Target="../printerSettings/printerSettings56.bin"/><Relationship Id="rId7" Type="http://schemas.openxmlformats.org/officeDocument/2006/relationships/vmlDrawing" Target="../drawings/vmlDrawing11.v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printerSettings" Target="../printerSettings/printerSettings62.bin"/><Relationship Id="rId7" Type="http://schemas.openxmlformats.org/officeDocument/2006/relationships/vmlDrawing" Target="../drawings/vmlDrawing12.vml"/><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printerSettings" Target="../printerSettings/printerSettings68.bin"/><Relationship Id="rId7" Type="http://schemas.openxmlformats.org/officeDocument/2006/relationships/vmlDrawing" Target="../drawings/vmlDrawing13.vml"/><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4.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printerSettings" Target="../printerSettings/printerSettings74.bin"/><Relationship Id="rId7" Type="http://schemas.openxmlformats.org/officeDocument/2006/relationships/vmlDrawing" Target="../drawings/vmlDrawing14.vml"/><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printerSettings" Target="../printerSettings/printerSettings80.bin"/><Relationship Id="rId7" Type="http://schemas.openxmlformats.org/officeDocument/2006/relationships/vmlDrawing" Target="../drawings/vmlDrawing15.vm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printerSettings" Target="../printerSettings/printerSettings86.bin"/><Relationship Id="rId7" Type="http://schemas.openxmlformats.org/officeDocument/2006/relationships/vmlDrawing" Target="../drawings/vmlDrawing16.vml"/><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7.xml"/><Relationship Id="rId3" Type="http://schemas.openxmlformats.org/officeDocument/2006/relationships/printerSettings" Target="../printerSettings/printerSettings92.bin"/><Relationship Id="rId7" Type="http://schemas.openxmlformats.org/officeDocument/2006/relationships/vmlDrawing" Target="../drawings/vmlDrawing17.vml"/><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18.vml"/><Relationship Id="rId13" Type="http://schemas.openxmlformats.org/officeDocument/2006/relationships/ctrlProp" Target="../ctrlProps/ctrlProp5.xml"/><Relationship Id="rId3" Type="http://schemas.openxmlformats.org/officeDocument/2006/relationships/printerSettings" Target="../printerSettings/printerSettings98.bin"/><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printerSettings" Target="../printerSettings/printerSettings97.bin"/><Relationship Id="rId16" Type="http://schemas.openxmlformats.org/officeDocument/2006/relationships/ctrlProp" Target="../ctrlProps/ctrlProp8.xml"/><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11" Type="http://schemas.openxmlformats.org/officeDocument/2006/relationships/ctrlProp" Target="../ctrlProps/ctrlProp3.xml"/><Relationship Id="rId5" Type="http://schemas.openxmlformats.org/officeDocument/2006/relationships/printerSettings" Target="../printerSettings/printerSettings100.bin"/><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printerSettings" Target="../printerSettings/printerSettings99.bin"/><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18.bin"/><Relationship Id="rId7" Type="http://schemas.openxmlformats.org/officeDocument/2006/relationships/vmlDrawing" Target="../drawings/vmlDrawing4.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printerSettings" Target="../printerSettings/printerSettings26.bin"/><Relationship Id="rId7" Type="http://schemas.openxmlformats.org/officeDocument/2006/relationships/vmlDrawing" Target="../drawings/vmlDrawing6.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printerSettings" Target="../printerSettings/printerSettings32.bin"/><Relationship Id="rId7" Type="http://schemas.openxmlformats.org/officeDocument/2006/relationships/vmlDrawing" Target="../drawings/vmlDrawing7.v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printerSettings" Target="../printerSettings/printerSettings38.bin"/><Relationship Id="rId7" Type="http://schemas.openxmlformats.org/officeDocument/2006/relationships/vmlDrawing" Target="../drawings/vmlDrawing8.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printerSettings" Target="../printerSettings/printerSettings44.bin"/><Relationship Id="rId7" Type="http://schemas.openxmlformats.org/officeDocument/2006/relationships/vmlDrawing" Target="../drawings/vmlDrawing9.v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GP425"/>
  <sheetViews>
    <sheetView showGridLines="0" zoomScale="106" zoomScaleNormal="106" zoomScaleSheetLayoutView="75" workbookViewId="0">
      <pane xSplit="10" ySplit="32" topLeftCell="FV216" activePane="bottomRight" state="frozen"/>
      <selection pane="topRight" activeCell="K1" sqref="K1"/>
      <selection pane="bottomLeft" activeCell="A33" sqref="A33"/>
      <selection pane="bottomRight" activeCell="I42" sqref="I42"/>
    </sheetView>
  </sheetViews>
  <sheetFormatPr defaultColWidth="9.140625" defaultRowHeight="11.25"/>
  <cols>
    <col min="1" max="4" width="2.28515625" style="758" customWidth="1"/>
    <col min="5" max="5" width="15.28515625" style="758" hidden="1" customWidth="1"/>
    <col min="6" max="6" width="14.28515625" style="758" hidden="1" customWidth="1"/>
    <col min="7" max="7" width="17" style="758" customWidth="1"/>
    <col min="8" max="8" width="25.5703125" style="758" customWidth="1"/>
    <col min="9" max="9" width="14.42578125" style="758" customWidth="1"/>
    <col min="10" max="10" width="7.5703125" style="758" customWidth="1"/>
    <col min="11" max="11" width="15.7109375" style="761" customWidth="1"/>
    <col min="12" max="12" width="3.7109375" style="758" customWidth="1"/>
    <col min="13" max="13" width="15.7109375" style="761" customWidth="1"/>
    <col min="14" max="14" width="3.7109375" style="758" customWidth="1"/>
    <col min="15" max="15" width="15.7109375" style="761" customWidth="1"/>
    <col min="16" max="16" width="3.7109375" style="761" customWidth="1"/>
    <col min="17" max="17" width="15" style="761" customWidth="1"/>
    <col min="18" max="18" width="3.7109375" style="758" customWidth="1"/>
    <col min="19" max="19" width="15.7109375" style="761" customWidth="1"/>
    <col min="20" max="20" width="3.7109375" style="758" customWidth="1"/>
    <col min="21" max="21" width="15.7109375" style="761" customWidth="1"/>
    <col min="22" max="22" width="3.7109375" style="761" customWidth="1"/>
    <col min="23" max="23" width="15.7109375" style="761" customWidth="1"/>
    <col min="24" max="24" width="3.7109375" style="758" customWidth="1"/>
    <col min="25" max="25" width="15.7109375" style="761" customWidth="1"/>
    <col min="26" max="26" width="3.7109375" style="758" customWidth="1"/>
    <col min="27" max="27" width="15.7109375" style="761" customWidth="1"/>
    <col min="28" max="28" width="3.7109375" style="761" customWidth="1"/>
    <col min="29" max="29" width="15.7109375" style="761" customWidth="1"/>
    <col min="30" max="30" width="3.7109375" style="758" customWidth="1"/>
    <col min="31" max="31" width="15.7109375" style="761" customWidth="1"/>
    <col min="32" max="32" width="3.7109375" style="758" customWidth="1"/>
    <col min="33" max="33" width="15.7109375" style="761" customWidth="1"/>
    <col min="34" max="34" width="3.7109375" style="761" customWidth="1"/>
    <col min="35" max="35" width="15.7109375" style="761" customWidth="1"/>
    <col min="36" max="36" width="3.7109375" style="761" hidden="1" customWidth="1"/>
    <col min="37" max="37" width="1.7109375" style="952" hidden="1" customWidth="1"/>
    <col min="38" max="38" width="3.7109375" style="758" customWidth="1"/>
    <col min="39" max="39" width="15.7109375" style="761" customWidth="1"/>
    <col min="40" max="40" width="3.7109375" style="758" customWidth="1"/>
    <col min="41" max="41" width="15.7109375" style="761" customWidth="1"/>
    <col min="42" max="42" width="3.7109375" style="761" customWidth="1"/>
    <col min="43" max="43" width="15.7109375" style="761" hidden="1" customWidth="1"/>
    <col min="44" max="44" width="3.7109375" style="758" hidden="1" customWidth="1"/>
    <col min="45" max="45" width="15.7109375" style="761" hidden="1" customWidth="1"/>
    <col min="46" max="46" width="3.7109375" style="758" hidden="1" customWidth="1"/>
    <col min="47" max="47" width="15.7109375" style="761" hidden="1" customWidth="1"/>
    <col min="48" max="48" width="3.7109375" style="761" customWidth="1"/>
    <col min="49" max="49" width="15.7109375" style="761" customWidth="1"/>
    <col min="50" max="50" width="3.7109375" style="758" customWidth="1"/>
    <col min="51" max="51" width="15.7109375" style="761" customWidth="1"/>
    <col min="52" max="52" width="3.7109375" style="758" customWidth="1"/>
    <col min="53" max="53" width="15.7109375" style="761" customWidth="1"/>
    <col min="54" max="54" width="3.7109375" style="761" customWidth="1"/>
    <col min="55" max="55" width="15.7109375" style="761" customWidth="1"/>
    <col min="56" max="56" width="3.7109375" style="758" customWidth="1"/>
    <col min="57" max="57" width="15.7109375" style="761" customWidth="1"/>
    <col min="58" max="58" width="3.7109375" style="758" customWidth="1"/>
    <col min="59" max="59" width="15.7109375" style="761" customWidth="1"/>
    <col min="60" max="60" width="3.7109375" style="761" customWidth="1"/>
    <col min="61" max="61" width="15.7109375" style="761" customWidth="1"/>
    <col min="62" max="62" width="3.7109375" style="758" customWidth="1"/>
    <col min="63" max="63" width="15.7109375" style="761" customWidth="1"/>
    <col min="64" max="64" width="3.7109375" style="758" customWidth="1"/>
    <col min="65" max="65" width="15.7109375" style="761" customWidth="1"/>
    <col min="66" max="66" width="3.7109375" style="761" customWidth="1"/>
    <col min="67" max="67" width="15.7109375" style="761" customWidth="1"/>
    <col min="68" max="68" width="3.7109375" style="758" hidden="1" customWidth="1"/>
    <col min="69" max="69" width="14.85546875" style="953" hidden="1" customWidth="1"/>
    <col min="70" max="70" width="3.7109375" style="758" customWidth="1"/>
    <col min="71" max="71" width="15.7109375" style="761" customWidth="1"/>
    <col min="72" max="72" width="3.7109375" style="758" customWidth="1"/>
    <col min="73" max="73" width="15.7109375" style="761" customWidth="1"/>
    <col min="74" max="74" width="3.7109375" style="758" customWidth="1"/>
    <col min="75" max="75" width="14.85546875" style="758" customWidth="1"/>
    <col min="76" max="77" width="3.5703125" style="758" hidden="1" customWidth="1"/>
    <col min="78" max="78" width="17.85546875" style="953" hidden="1" customWidth="1"/>
    <col min="79" max="79" width="3.7109375" style="758" hidden="1" customWidth="1"/>
    <col min="80" max="80" width="17" style="758" hidden="1" customWidth="1"/>
    <col min="81" max="81" width="3.7109375" style="758" hidden="1" customWidth="1"/>
    <col min="82" max="82" width="14.85546875" style="953" hidden="1" customWidth="1"/>
    <col min="83" max="83" width="3.7109375" style="758" customWidth="1"/>
    <col min="84" max="84" width="15.7109375" style="761" customWidth="1"/>
    <col min="85" max="85" width="3.7109375" style="758" customWidth="1"/>
    <col min="86" max="86" width="15.7109375" style="761" customWidth="1"/>
    <col min="87" max="87" width="3.7109375" style="758" customWidth="1"/>
    <col min="88" max="88" width="15.7109375" style="761" customWidth="1"/>
    <col min="89" max="89" width="3.7109375" style="758" customWidth="1"/>
    <col min="90" max="90" width="15.7109375" style="761" customWidth="1"/>
    <col min="91" max="91" width="3.7109375" style="758" customWidth="1"/>
    <col min="92" max="92" width="15.7109375" style="761" customWidth="1"/>
    <col min="93" max="93" width="3.7109375" style="758" customWidth="1"/>
    <col min="94" max="94" width="14.85546875" style="758" customWidth="1"/>
    <col min="95" max="95" width="3.7109375" style="758" customWidth="1"/>
    <col min="96" max="96" width="15.7109375" style="761" customWidth="1"/>
    <col min="97" max="97" width="3.7109375" style="758" customWidth="1"/>
    <col min="98" max="98" width="15.7109375" style="761" customWidth="1"/>
    <col min="99" max="99" width="3.7109375" style="758" customWidth="1"/>
    <col min="100" max="100" width="14.85546875" style="758" customWidth="1"/>
    <col min="101" max="101" width="3.7109375" style="758" customWidth="1"/>
    <col min="102" max="102" width="15.7109375" style="761" customWidth="1"/>
    <col min="103" max="103" width="3.7109375" style="758" customWidth="1"/>
    <col min="104" max="104" width="15.7109375" style="761" customWidth="1"/>
    <col min="105" max="105" width="3.7109375" style="758" customWidth="1"/>
    <col min="106" max="106" width="14.85546875" style="758" customWidth="1"/>
    <col min="107" max="107" width="3.7109375" style="758" customWidth="1"/>
    <col min="108" max="108" width="15.7109375" style="761" customWidth="1"/>
    <col min="109" max="109" width="3.7109375" style="758" customWidth="1"/>
    <col min="110" max="110" width="15.7109375" style="761" customWidth="1"/>
    <col min="111" max="111" width="3.7109375" style="758" customWidth="1"/>
    <col min="112" max="112" width="14.85546875" style="758" customWidth="1"/>
    <col min="113" max="113" width="3.7109375" style="758" customWidth="1"/>
    <col min="114" max="114" width="15.7109375" style="761" customWidth="1"/>
    <col min="115" max="115" width="3.7109375" style="758" customWidth="1"/>
    <col min="116" max="116" width="15.7109375" style="761" customWidth="1"/>
    <col min="117" max="117" width="3.7109375" style="758" customWidth="1"/>
    <col min="118" max="118" width="14.85546875" style="758" customWidth="1"/>
    <col min="119" max="119" width="3.7109375" style="758" customWidth="1"/>
    <col min="120" max="120" width="15.7109375" style="761" customWidth="1"/>
    <col min="121" max="121" width="3.7109375" style="758" customWidth="1"/>
    <col min="122" max="122" width="15.7109375" style="761" customWidth="1"/>
    <col min="123" max="123" width="3.7109375" style="758" customWidth="1"/>
    <col min="124" max="124" width="14.85546875" style="758" customWidth="1"/>
    <col min="125" max="125" width="3.7109375" style="758" hidden="1" customWidth="1"/>
    <col min="126" max="126" width="14.85546875" style="758" hidden="1" customWidth="1"/>
    <col min="127" max="127" width="3.7109375" style="758" customWidth="1"/>
    <col min="128" max="128" width="15.7109375" style="761" customWidth="1"/>
    <col min="129" max="129" width="3.7109375" style="758" customWidth="1"/>
    <col min="130" max="130" width="15.7109375" style="761" customWidth="1"/>
    <col min="131" max="131" width="3.7109375" style="758" customWidth="1"/>
    <col min="132" max="132" width="14.85546875" style="758" customWidth="1"/>
    <col min="133" max="133" width="3.7109375" style="758" hidden="1" customWidth="1"/>
    <col min="134" max="134" width="14.85546875" style="758" hidden="1" customWidth="1"/>
    <col min="135" max="135" width="3.7109375" style="758" customWidth="1"/>
    <col min="136" max="136" width="15.7109375" style="761" customWidth="1"/>
    <col min="137" max="137" width="3.7109375" style="758" customWidth="1"/>
    <col min="138" max="138" width="15.7109375" style="761" customWidth="1"/>
    <col min="139" max="139" width="3.7109375" style="758" customWidth="1"/>
    <col min="140" max="140" width="14.85546875" style="758" customWidth="1"/>
    <col min="141" max="141" width="3.7109375" style="758" customWidth="1"/>
    <col min="142" max="142" width="15.7109375" style="761" customWidth="1"/>
    <col min="143" max="143" width="3.7109375" style="758" customWidth="1"/>
    <col min="144" max="144" width="15.7109375" style="761" customWidth="1"/>
    <col min="145" max="145" width="3.7109375" style="758" customWidth="1"/>
    <col min="146" max="146" width="14.85546875" style="758" customWidth="1"/>
    <col min="147" max="147" width="3.7109375" style="758" customWidth="1"/>
    <col min="148" max="148" width="15.7109375" style="761" customWidth="1"/>
    <col min="149" max="149" width="3.7109375" style="758" customWidth="1"/>
    <col min="150" max="150" width="15.7109375" style="761" customWidth="1"/>
    <col min="151" max="151" width="3.7109375" style="758" customWidth="1"/>
    <col min="152" max="152" width="14.85546875" style="758" customWidth="1"/>
    <col min="153" max="153" width="3.7109375" style="758" customWidth="1"/>
    <col min="154" max="154" width="15.7109375" style="761" customWidth="1"/>
    <col min="155" max="155" width="3.7109375" style="758" customWidth="1"/>
    <col min="156" max="156" width="15.7109375" style="761" customWidth="1"/>
    <col min="157" max="157" width="3.7109375" style="758" customWidth="1"/>
    <col min="158" max="158" width="14.85546875" style="758" hidden="1" customWidth="1"/>
    <col min="159" max="159" width="3.7109375" style="758" hidden="1" customWidth="1"/>
    <col min="160" max="160" width="16.85546875" style="758" hidden="1" customWidth="1"/>
    <col min="161" max="161" width="3.7109375" style="758" hidden="1" customWidth="1"/>
    <col min="162" max="162" width="15.7109375" style="761" customWidth="1"/>
    <col min="163" max="163" width="3.7109375" style="758" customWidth="1"/>
    <col min="164" max="164" width="15.7109375" style="761" customWidth="1"/>
    <col min="165" max="165" width="3.7109375" style="758" customWidth="1"/>
    <col min="166" max="166" width="15.7109375" style="761" customWidth="1"/>
    <col min="167" max="167" width="3.7109375" style="758" customWidth="1"/>
    <col min="168" max="168" width="15.7109375" style="761" customWidth="1"/>
    <col min="169" max="169" width="3.7109375" style="758" customWidth="1"/>
    <col min="170" max="170" width="15.7109375" style="761" customWidth="1"/>
    <col min="171" max="171" width="3.7109375" style="758" customWidth="1"/>
    <col min="172" max="172" width="15.7109375" style="761" customWidth="1"/>
    <col min="173" max="173" width="3.7109375" style="758" customWidth="1"/>
    <col min="174" max="174" width="15.7109375" style="761" customWidth="1"/>
    <col min="175" max="175" width="3.7109375" style="758" customWidth="1"/>
    <col min="176" max="176" width="15.7109375" style="761" customWidth="1"/>
    <col min="177" max="177" width="3.7109375" style="758" customWidth="1"/>
    <col min="178" max="178" width="15.7109375" style="761" customWidth="1"/>
    <col min="179" max="179" width="3.7109375" style="758" customWidth="1"/>
    <col min="180" max="180" width="15.7109375" style="761" customWidth="1"/>
    <col min="181" max="181" width="3.7109375" style="758" customWidth="1"/>
    <col min="182" max="182" width="15.7109375" style="761" customWidth="1"/>
    <col min="183" max="183" width="3.7109375" style="758" customWidth="1"/>
    <col min="184" max="184" width="15.7109375" style="761" customWidth="1"/>
    <col min="185" max="185" width="3.7109375" style="758" customWidth="1"/>
    <col min="186" max="186" width="15.7109375" style="761" customWidth="1"/>
    <col min="187" max="187" width="3.7109375" style="758" customWidth="1"/>
    <col min="188" max="188" width="15.7109375" style="761" customWidth="1"/>
    <col min="189" max="189" width="3.7109375" style="758" customWidth="1"/>
    <col min="190" max="190" width="15.7109375" style="761" customWidth="1"/>
    <col min="191" max="192" width="9.140625" style="758"/>
    <col min="193" max="193" width="13.140625" style="758" customWidth="1"/>
    <col min="194" max="194" width="12.85546875" style="758" customWidth="1"/>
    <col min="195" max="195" width="14.85546875" style="758" customWidth="1"/>
    <col min="196" max="196" width="15.28515625" style="758" customWidth="1"/>
    <col min="197" max="197" width="9.140625" style="758"/>
    <col min="198" max="198" width="11.5703125" style="758" customWidth="1"/>
    <col min="199" max="16384" width="9.140625" style="758"/>
  </cols>
  <sheetData>
    <row r="1" spans="1:190">
      <c r="B1" s="759"/>
      <c r="C1" s="759"/>
      <c r="D1" s="759"/>
      <c r="E1" s="760"/>
      <c r="M1" s="758"/>
      <c r="O1" s="758"/>
      <c r="S1" s="758"/>
      <c r="U1" s="758"/>
      <c r="Y1" s="758"/>
      <c r="AA1" s="758"/>
      <c r="AE1" s="758"/>
      <c r="AG1" s="758"/>
      <c r="AK1" s="761"/>
      <c r="AM1" s="758"/>
      <c r="AO1" s="758"/>
      <c r="AS1" s="758"/>
      <c r="AU1" s="758"/>
      <c r="AY1" s="758"/>
      <c r="BA1" s="758"/>
      <c r="BE1" s="758"/>
      <c r="BG1" s="758"/>
      <c r="BK1" s="758"/>
      <c r="BM1" s="758"/>
      <c r="BQ1" s="758"/>
      <c r="BS1" s="758"/>
      <c r="BU1" s="758"/>
      <c r="BZ1" s="758"/>
      <c r="CD1" s="758"/>
      <c r="CF1" s="758"/>
      <c r="CH1" s="758"/>
      <c r="CL1" s="758"/>
      <c r="CN1" s="758"/>
      <c r="CR1" s="758"/>
      <c r="CT1" s="758"/>
      <c r="CX1" s="758"/>
      <c r="CZ1" s="758"/>
      <c r="DD1" s="758"/>
      <c r="DF1" s="758"/>
      <c r="DJ1" s="758"/>
      <c r="DL1" s="758"/>
      <c r="DP1" s="758"/>
      <c r="DR1" s="758"/>
      <c r="DX1" s="758"/>
      <c r="DZ1" s="758"/>
      <c r="EF1" s="758"/>
      <c r="EH1" s="758"/>
      <c r="EL1" s="758"/>
      <c r="EN1" s="758"/>
      <c r="ER1" s="758"/>
      <c r="ET1" s="758"/>
      <c r="EX1" s="758"/>
      <c r="EZ1" s="758"/>
      <c r="FF1" s="758"/>
      <c r="FH1" s="758"/>
      <c r="FJ1" s="758"/>
      <c r="FL1" s="758"/>
      <c r="FN1" s="758"/>
      <c r="FP1" s="758"/>
      <c r="FR1" s="758"/>
      <c r="FT1" s="758"/>
      <c r="FV1" s="758"/>
      <c r="FX1" s="758"/>
      <c r="FZ1" s="758"/>
      <c r="GB1" s="758"/>
      <c r="GD1" s="758"/>
      <c r="GF1" s="758"/>
      <c r="GH1" s="758"/>
    </row>
    <row r="2" spans="1:190" hidden="1">
      <c r="A2" s="762"/>
      <c r="E2" s="762"/>
      <c r="M2" s="758"/>
      <c r="O2" s="758"/>
      <c r="S2" s="758"/>
      <c r="U2" s="758"/>
      <c r="Y2" s="758"/>
      <c r="AA2" s="758"/>
      <c r="AE2" s="758"/>
      <c r="AG2" s="758"/>
      <c r="AK2" s="761"/>
      <c r="AM2" s="758"/>
      <c r="AO2" s="758"/>
      <c r="AS2" s="758"/>
      <c r="AU2" s="758"/>
      <c r="AY2" s="758"/>
      <c r="BA2" s="758"/>
      <c r="BE2" s="758"/>
      <c r="BG2" s="758"/>
      <c r="BK2" s="758"/>
      <c r="BM2" s="758"/>
      <c r="BQ2" s="758"/>
      <c r="BS2" s="758"/>
      <c r="BU2" s="758"/>
      <c r="BZ2" s="758"/>
      <c r="CD2" s="758"/>
      <c r="CF2" s="758"/>
      <c r="CH2" s="758"/>
      <c r="CL2" s="758"/>
      <c r="CN2" s="758"/>
      <c r="CR2" s="758"/>
      <c r="CT2" s="758"/>
      <c r="CX2" s="758"/>
      <c r="CZ2" s="758"/>
      <c r="DD2" s="758"/>
      <c r="DF2" s="758"/>
      <c r="DJ2" s="758"/>
      <c r="DL2" s="758"/>
      <c r="DP2" s="758"/>
      <c r="DR2" s="758"/>
      <c r="DX2" s="758"/>
      <c r="DZ2" s="758"/>
      <c r="EF2" s="758"/>
      <c r="EH2" s="758"/>
      <c r="EL2" s="758"/>
      <c r="EN2" s="758"/>
      <c r="ER2" s="758"/>
      <c r="ET2" s="758"/>
      <c r="EX2" s="758"/>
      <c r="EZ2" s="758"/>
      <c r="FF2" s="758"/>
      <c r="FH2" s="758"/>
      <c r="FJ2" s="758"/>
      <c r="FL2" s="758"/>
      <c r="FN2" s="758"/>
      <c r="FP2" s="758"/>
      <c r="FR2" s="758"/>
      <c r="FT2" s="758"/>
      <c r="FV2" s="758"/>
      <c r="FX2" s="758"/>
      <c r="FZ2" s="758"/>
      <c r="GB2" s="758"/>
      <c r="GD2" s="758"/>
      <c r="GF2" s="758"/>
      <c r="GH2" s="758"/>
    </row>
    <row r="3" spans="1:190" hidden="1">
      <c r="A3" s="1091"/>
      <c r="B3" s="1091"/>
      <c r="C3" s="1091"/>
      <c r="D3" s="1091"/>
      <c r="E3" s="1091"/>
      <c r="F3" s="1091"/>
      <c r="M3" s="758"/>
      <c r="O3" s="758"/>
      <c r="S3" s="758"/>
      <c r="U3" s="758"/>
      <c r="Y3" s="758"/>
      <c r="AA3" s="758"/>
      <c r="AE3" s="758"/>
      <c r="AG3" s="758"/>
      <c r="AK3" s="761"/>
      <c r="AM3" s="758"/>
      <c r="AO3" s="758"/>
      <c r="AS3" s="758"/>
      <c r="AU3" s="758"/>
      <c r="AY3" s="758"/>
      <c r="BA3" s="758"/>
      <c r="BE3" s="758"/>
      <c r="BG3" s="758"/>
      <c r="BK3" s="758"/>
      <c r="BM3" s="758"/>
      <c r="BQ3" s="758"/>
      <c r="BS3" s="758"/>
      <c r="BU3" s="758"/>
      <c r="BZ3" s="758"/>
      <c r="CD3" s="758"/>
      <c r="CF3" s="758"/>
      <c r="CH3" s="758"/>
      <c r="CL3" s="758"/>
      <c r="CN3" s="758"/>
      <c r="CR3" s="758"/>
      <c r="CT3" s="758"/>
      <c r="CX3" s="758"/>
      <c r="CZ3" s="758"/>
      <c r="DD3" s="758"/>
      <c r="DF3" s="758"/>
      <c r="DJ3" s="758"/>
      <c r="DL3" s="758"/>
      <c r="DP3" s="758"/>
      <c r="DR3" s="758"/>
      <c r="DX3" s="758"/>
      <c r="DZ3" s="758"/>
      <c r="EF3" s="758"/>
      <c r="EH3" s="758"/>
      <c r="EL3" s="758"/>
      <c r="EN3" s="758"/>
      <c r="ER3" s="758"/>
      <c r="ET3" s="758"/>
      <c r="EX3" s="758"/>
      <c r="EZ3" s="758"/>
      <c r="FF3" s="758"/>
      <c r="FH3" s="758"/>
      <c r="FJ3" s="758"/>
      <c r="FL3" s="758"/>
      <c r="FN3" s="758"/>
      <c r="FP3" s="758"/>
      <c r="FR3" s="758"/>
      <c r="FT3" s="758"/>
      <c r="FV3" s="758"/>
      <c r="FX3" s="758"/>
      <c r="FZ3" s="758"/>
      <c r="GB3" s="758"/>
      <c r="GD3" s="758"/>
      <c r="GF3" s="758"/>
      <c r="GH3" s="758"/>
    </row>
    <row r="4" spans="1:190" hidden="1">
      <c r="A4" s="1091"/>
      <c r="B4" s="1091"/>
      <c r="C4" s="1091"/>
      <c r="D4" s="1091"/>
      <c r="E4" s="1091"/>
      <c r="F4" s="1091"/>
      <c r="M4" s="758"/>
      <c r="O4" s="758"/>
      <c r="S4" s="758"/>
      <c r="U4" s="758"/>
      <c r="Y4" s="758"/>
      <c r="AA4" s="758"/>
      <c r="AE4" s="758"/>
      <c r="AG4" s="758"/>
      <c r="AK4" s="761"/>
      <c r="AM4" s="758"/>
      <c r="AO4" s="758"/>
      <c r="AS4" s="758"/>
      <c r="AU4" s="758"/>
      <c r="AY4" s="758"/>
      <c r="BA4" s="758"/>
      <c r="BE4" s="758"/>
      <c r="BG4" s="758"/>
      <c r="BK4" s="758"/>
      <c r="BM4" s="758"/>
      <c r="BQ4" s="758"/>
      <c r="BS4" s="758"/>
      <c r="BU4" s="758"/>
      <c r="BZ4" s="758"/>
      <c r="CD4" s="758"/>
      <c r="CF4" s="758"/>
      <c r="CH4" s="758"/>
      <c r="CL4" s="758"/>
      <c r="CN4" s="758"/>
      <c r="CR4" s="758"/>
      <c r="CT4" s="758"/>
      <c r="CX4" s="758"/>
      <c r="CZ4" s="758"/>
      <c r="DD4" s="758"/>
      <c r="DF4" s="758"/>
      <c r="DJ4" s="758"/>
      <c r="DL4" s="758"/>
      <c r="DP4" s="758"/>
      <c r="DR4" s="758"/>
      <c r="DX4" s="758"/>
      <c r="DZ4" s="758"/>
      <c r="EF4" s="758"/>
      <c r="EH4" s="758"/>
      <c r="EL4" s="758"/>
      <c r="EN4" s="758"/>
      <c r="ER4" s="758"/>
      <c r="ET4" s="758"/>
      <c r="EX4" s="758"/>
      <c r="EZ4" s="758"/>
      <c r="FF4" s="758"/>
      <c r="FH4" s="758"/>
      <c r="FJ4" s="758"/>
      <c r="FL4" s="758"/>
      <c r="FN4" s="758"/>
      <c r="FP4" s="758"/>
      <c r="FR4" s="758"/>
      <c r="FT4" s="758"/>
      <c r="FV4" s="758"/>
      <c r="FX4" s="758"/>
      <c r="FZ4" s="758"/>
      <c r="GB4" s="758"/>
      <c r="GD4" s="758"/>
      <c r="GF4" s="758"/>
      <c r="GH4" s="758"/>
    </row>
    <row r="5" spans="1:190" hidden="1">
      <c r="A5" s="1091"/>
      <c r="B5" s="1091"/>
      <c r="C5" s="1091"/>
      <c r="D5" s="1091"/>
      <c r="E5" s="1091"/>
      <c r="F5" s="1091"/>
      <c r="M5" s="758"/>
      <c r="O5" s="758"/>
      <c r="S5" s="758"/>
      <c r="U5" s="758"/>
      <c r="Y5" s="758"/>
      <c r="AA5" s="758"/>
      <c r="AE5" s="758"/>
      <c r="AG5" s="758"/>
      <c r="AK5" s="761"/>
      <c r="AM5" s="758"/>
      <c r="AO5" s="758"/>
      <c r="AS5" s="758"/>
      <c r="AU5" s="758"/>
      <c r="AY5" s="758"/>
      <c r="BA5" s="758"/>
      <c r="BE5" s="758"/>
      <c r="BG5" s="758"/>
      <c r="BK5" s="758"/>
      <c r="BM5" s="758"/>
      <c r="BQ5" s="758"/>
      <c r="BS5" s="758"/>
      <c r="BU5" s="758"/>
      <c r="BZ5" s="758"/>
      <c r="CD5" s="758"/>
      <c r="CF5" s="758"/>
      <c r="CH5" s="758"/>
      <c r="CL5" s="758"/>
      <c r="CN5" s="758"/>
      <c r="CR5" s="758"/>
      <c r="CT5" s="758"/>
      <c r="CX5" s="758"/>
      <c r="CZ5" s="758"/>
      <c r="DD5" s="758"/>
      <c r="DF5" s="758"/>
      <c r="DJ5" s="758"/>
      <c r="DL5" s="758"/>
      <c r="DP5" s="758"/>
      <c r="DR5" s="758"/>
      <c r="DX5" s="758"/>
      <c r="DZ5" s="758"/>
      <c r="EF5" s="758"/>
      <c r="EH5" s="758"/>
      <c r="EL5" s="758"/>
      <c r="EN5" s="758"/>
      <c r="ER5" s="758"/>
      <c r="ET5" s="758"/>
      <c r="EX5" s="758"/>
      <c r="EZ5" s="758"/>
      <c r="FF5" s="758"/>
      <c r="FH5" s="758"/>
      <c r="FJ5" s="758"/>
      <c r="FL5" s="758"/>
      <c r="FN5" s="758"/>
      <c r="FP5" s="758"/>
      <c r="FR5" s="758"/>
      <c r="FT5" s="758"/>
      <c r="FV5" s="758"/>
      <c r="FX5" s="758"/>
      <c r="FZ5" s="758"/>
      <c r="GB5" s="758"/>
      <c r="GD5" s="758"/>
      <c r="GF5" s="758"/>
      <c r="GH5" s="758"/>
    </row>
    <row r="6" spans="1:190" hidden="1">
      <c r="A6" s="1091"/>
      <c r="B6" s="1091"/>
      <c r="C6" s="1091"/>
      <c r="D6" s="1091"/>
      <c r="E6" s="1091"/>
      <c r="F6" s="1091"/>
      <c r="M6" s="758"/>
      <c r="O6" s="758"/>
      <c r="S6" s="758"/>
      <c r="U6" s="758"/>
      <c r="Y6" s="758"/>
      <c r="AA6" s="758"/>
      <c r="AE6" s="758"/>
      <c r="AG6" s="758"/>
      <c r="AK6" s="761"/>
      <c r="AM6" s="758"/>
      <c r="AO6" s="758"/>
      <c r="AS6" s="758"/>
      <c r="AU6" s="758"/>
      <c r="AY6" s="758"/>
      <c r="BA6" s="758"/>
      <c r="BE6" s="758"/>
      <c r="BG6" s="758"/>
      <c r="BK6" s="758"/>
      <c r="BM6" s="758"/>
      <c r="BQ6" s="758"/>
      <c r="BS6" s="758"/>
      <c r="BU6" s="758"/>
      <c r="BZ6" s="758"/>
      <c r="CD6" s="758"/>
      <c r="CF6" s="758"/>
      <c r="CH6" s="758"/>
      <c r="CL6" s="758"/>
      <c r="CN6" s="758"/>
      <c r="CR6" s="758"/>
      <c r="CT6" s="758"/>
      <c r="CX6" s="758"/>
      <c r="CZ6" s="758"/>
      <c r="DD6" s="758"/>
      <c r="DF6" s="758"/>
      <c r="DJ6" s="758"/>
      <c r="DL6" s="758"/>
      <c r="DP6" s="758"/>
      <c r="DR6" s="758"/>
      <c r="DX6" s="758"/>
      <c r="DZ6" s="758"/>
      <c r="EF6" s="758"/>
      <c r="EH6" s="758"/>
      <c r="EL6" s="758"/>
      <c r="EN6" s="758"/>
      <c r="ER6" s="758"/>
      <c r="ET6" s="758"/>
      <c r="EX6" s="758"/>
      <c r="EZ6" s="758"/>
      <c r="FF6" s="758"/>
      <c r="FH6" s="758"/>
      <c r="FJ6" s="758"/>
      <c r="FL6" s="758"/>
      <c r="FN6" s="758"/>
      <c r="FP6" s="758"/>
      <c r="FR6" s="758"/>
      <c r="FT6" s="758"/>
      <c r="FV6" s="758"/>
      <c r="FX6" s="758"/>
      <c r="FZ6" s="758"/>
      <c r="GB6" s="758"/>
      <c r="GD6" s="758"/>
      <c r="GF6" s="758"/>
      <c r="GH6" s="758"/>
    </row>
    <row r="7" spans="1:190" hidden="1">
      <c r="A7" s="1091"/>
      <c r="B7" s="1091"/>
      <c r="C7" s="1091"/>
      <c r="D7" s="1091"/>
      <c r="E7" s="1091"/>
      <c r="F7" s="1091"/>
      <c r="M7" s="758"/>
      <c r="O7" s="758"/>
      <c r="S7" s="758"/>
      <c r="U7" s="758"/>
      <c r="Y7" s="758"/>
      <c r="AA7" s="758"/>
      <c r="AE7" s="758"/>
      <c r="AG7" s="758"/>
      <c r="AK7" s="761"/>
      <c r="AM7" s="758"/>
      <c r="AO7" s="758"/>
      <c r="AS7" s="758"/>
      <c r="AU7" s="758"/>
      <c r="AY7" s="758"/>
      <c r="BA7" s="758"/>
      <c r="BE7" s="758"/>
      <c r="BG7" s="758"/>
      <c r="BK7" s="758"/>
      <c r="BM7" s="758"/>
      <c r="BQ7" s="758"/>
      <c r="BS7" s="758"/>
      <c r="BU7" s="758"/>
      <c r="BZ7" s="758"/>
      <c r="CD7" s="758"/>
      <c r="CF7" s="758"/>
      <c r="CH7" s="758"/>
      <c r="CL7" s="758"/>
      <c r="CN7" s="758"/>
      <c r="CR7" s="758"/>
      <c r="CT7" s="758"/>
      <c r="CX7" s="758"/>
      <c r="CZ7" s="758"/>
      <c r="DD7" s="758"/>
      <c r="DF7" s="758"/>
      <c r="DJ7" s="758"/>
      <c r="DL7" s="758"/>
      <c r="DP7" s="758"/>
      <c r="DR7" s="758"/>
      <c r="DX7" s="758"/>
      <c r="DZ7" s="758"/>
      <c r="EF7" s="758"/>
      <c r="EH7" s="758"/>
      <c r="EL7" s="758"/>
      <c r="EN7" s="758"/>
      <c r="ER7" s="758"/>
      <c r="ET7" s="758"/>
      <c r="EX7" s="758"/>
      <c r="EZ7" s="758"/>
      <c r="FF7" s="758"/>
      <c r="FH7" s="758"/>
      <c r="FJ7" s="758"/>
      <c r="FL7" s="758"/>
      <c r="FN7" s="758"/>
      <c r="FP7" s="758"/>
      <c r="FR7" s="758"/>
      <c r="FT7" s="758"/>
      <c r="FV7" s="758"/>
      <c r="FX7" s="758"/>
      <c r="FZ7" s="758"/>
      <c r="GB7" s="758"/>
      <c r="GD7" s="758"/>
      <c r="GF7" s="758"/>
      <c r="GH7" s="758"/>
    </row>
    <row r="8" spans="1:190">
      <c r="A8" s="1091"/>
      <c r="B8" s="1091"/>
      <c r="C8" s="1091"/>
      <c r="D8" s="1091"/>
      <c r="E8" s="1091"/>
      <c r="F8" s="1091"/>
      <c r="J8" s="765" t="s">
        <v>1695</v>
      </c>
      <c r="M8" s="758"/>
      <c r="O8" s="947" t="s">
        <v>1696</v>
      </c>
      <c r="S8" s="758"/>
      <c r="U8" s="947" t="s">
        <v>1697</v>
      </c>
      <c r="Y8" s="758"/>
      <c r="AA8" s="947" t="s">
        <v>1696</v>
      </c>
      <c r="AE8" s="758"/>
      <c r="AG8" s="947" t="s">
        <v>1696</v>
      </c>
      <c r="AK8" s="761"/>
      <c r="AM8" s="758"/>
      <c r="AO8" s="947" t="s">
        <v>1697</v>
      </c>
      <c r="AS8" s="758"/>
      <c r="AU8" s="948"/>
      <c r="AY8" s="758"/>
      <c r="BA8" s="947" t="s">
        <v>1696</v>
      </c>
      <c r="BE8" s="758"/>
      <c r="BG8" s="947" t="s">
        <v>1697</v>
      </c>
      <c r="BK8" s="758"/>
      <c r="BM8" s="947" t="s">
        <v>1698</v>
      </c>
      <c r="BQ8" s="758"/>
      <c r="BS8" s="758"/>
      <c r="BU8" s="947" t="s">
        <v>1696</v>
      </c>
      <c r="BZ8" s="758"/>
      <c r="CD8" s="758"/>
      <c r="CF8" s="758"/>
      <c r="CH8" s="947" t="s">
        <v>1698</v>
      </c>
      <c r="CL8" s="758"/>
      <c r="CN8" s="947" t="s">
        <v>1696</v>
      </c>
      <c r="CR8" s="758"/>
      <c r="CT8" s="947" t="s">
        <v>1698</v>
      </c>
      <c r="CX8" s="758"/>
      <c r="CZ8" s="947" t="s">
        <v>1698</v>
      </c>
      <c r="DD8" s="758"/>
      <c r="DF8" s="947" t="s">
        <v>1698</v>
      </c>
      <c r="DH8" s="949"/>
      <c r="DJ8" s="758"/>
      <c r="DL8" s="947" t="s">
        <v>1698</v>
      </c>
      <c r="DN8" s="949"/>
      <c r="DP8" s="758"/>
      <c r="DR8" s="947" t="s">
        <v>1698</v>
      </c>
      <c r="DT8" s="761"/>
      <c r="DX8" s="758"/>
      <c r="DZ8" s="947" t="s">
        <v>1699</v>
      </c>
      <c r="EF8" s="758"/>
      <c r="EH8" s="947" t="s">
        <v>1699</v>
      </c>
      <c r="EL8" s="758"/>
      <c r="EN8" s="947" t="s">
        <v>1699</v>
      </c>
      <c r="ER8" s="758"/>
      <c r="ET8" s="947" t="s">
        <v>1699</v>
      </c>
      <c r="EX8" s="758"/>
      <c r="EZ8" s="947" t="s">
        <v>1699</v>
      </c>
      <c r="FF8" s="758"/>
      <c r="FH8" s="758"/>
      <c r="FJ8" s="947" t="s">
        <v>1699</v>
      </c>
      <c r="FL8" s="758"/>
      <c r="FN8" s="758"/>
      <c r="FP8" s="947" t="s">
        <v>1700</v>
      </c>
      <c r="FR8" s="758"/>
      <c r="FT8" s="758"/>
      <c r="FV8" s="947" t="s">
        <v>1700</v>
      </c>
      <c r="FX8" s="758"/>
      <c r="FZ8" s="758"/>
      <c r="GB8" s="947" t="s">
        <v>1700</v>
      </c>
      <c r="GD8" s="758"/>
      <c r="GF8" s="758"/>
      <c r="GH8" s="947"/>
    </row>
    <row r="9" spans="1:190">
      <c r="A9" s="763" t="s">
        <v>655</v>
      </c>
      <c r="E9" s="764"/>
      <c r="F9" s="765"/>
      <c r="J9" s="765" t="s">
        <v>1701</v>
      </c>
      <c r="M9" s="758"/>
      <c r="O9" s="950" t="s">
        <v>1700</v>
      </c>
      <c r="S9" s="758"/>
      <c r="U9" s="950"/>
      <c r="Y9" s="758"/>
      <c r="AA9" s="950" t="s">
        <v>1700</v>
      </c>
      <c r="AE9" s="758"/>
      <c r="AG9" s="950" t="s">
        <v>1702</v>
      </c>
      <c r="AK9" s="761"/>
      <c r="AM9" s="758"/>
      <c r="AO9" s="950"/>
      <c r="AS9" s="758"/>
      <c r="AU9" s="758"/>
      <c r="AY9" s="758"/>
      <c r="BA9" s="950" t="s">
        <v>1702</v>
      </c>
      <c r="BE9" s="758"/>
      <c r="BG9" s="950"/>
      <c r="BK9" s="758"/>
      <c r="BM9" s="950"/>
      <c r="BQ9" s="758"/>
      <c r="BS9" s="758"/>
      <c r="BU9" s="950" t="s">
        <v>1702</v>
      </c>
      <c r="BZ9" s="758"/>
      <c r="CD9" s="758"/>
      <c r="CF9" s="758"/>
      <c r="CH9" s="950"/>
      <c r="CL9" s="758"/>
      <c r="CN9" s="950" t="s">
        <v>1702</v>
      </c>
      <c r="CR9" s="758"/>
      <c r="CT9" s="950"/>
      <c r="CX9" s="758"/>
      <c r="CZ9" s="950"/>
      <c r="DD9" s="758"/>
      <c r="DF9" s="950"/>
      <c r="DJ9" s="758"/>
      <c r="DL9" s="950"/>
      <c r="DP9" s="758"/>
      <c r="DR9" s="950"/>
      <c r="DX9" s="758"/>
      <c r="DZ9" s="950"/>
      <c r="EF9" s="758"/>
      <c r="EH9" s="950"/>
      <c r="EL9" s="758"/>
      <c r="EN9" s="950"/>
      <c r="ER9" s="758"/>
      <c r="ET9" s="950"/>
      <c r="EX9" s="758"/>
      <c r="EZ9" s="950"/>
      <c r="FF9" s="758"/>
      <c r="FH9" s="758"/>
      <c r="FJ9" s="950"/>
      <c r="FL9" s="758"/>
      <c r="FN9" s="758"/>
      <c r="FP9" s="950"/>
      <c r="FR9" s="758"/>
      <c r="FT9" s="758"/>
      <c r="FV9" s="950"/>
      <c r="FX9" s="758"/>
      <c r="FZ9" s="758"/>
      <c r="GB9" s="950"/>
      <c r="GD9" s="758"/>
      <c r="GF9" s="758"/>
      <c r="GH9" s="950"/>
    </row>
    <row r="10" spans="1:190" ht="24.75" customHeight="1">
      <c r="A10" s="763" t="s">
        <v>729</v>
      </c>
      <c r="B10" s="763"/>
      <c r="C10" s="763"/>
      <c r="D10" s="763"/>
      <c r="E10" s="767"/>
      <c r="F10" s="768"/>
      <c r="J10" s="765" t="s">
        <v>1703</v>
      </c>
      <c r="M10" s="758"/>
      <c r="O10" s="951" t="s">
        <v>1704</v>
      </c>
      <c r="P10" s="769"/>
      <c r="S10" s="758"/>
      <c r="U10" s="951" t="s">
        <v>1705</v>
      </c>
      <c r="V10" s="769"/>
      <c r="Y10" s="758"/>
      <c r="AA10" s="951" t="s">
        <v>1706</v>
      </c>
      <c r="AE10" s="758"/>
      <c r="AG10" s="951" t="s">
        <v>1706</v>
      </c>
      <c r="AH10" s="769"/>
      <c r="AJ10" s="769"/>
      <c r="AK10" s="769"/>
      <c r="AM10" s="758"/>
      <c r="AO10" s="951" t="s">
        <v>1705</v>
      </c>
      <c r="AP10" s="769"/>
      <c r="AQ10" s="1083" t="s">
        <v>1707</v>
      </c>
      <c r="AR10" s="1083"/>
      <c r="AS10" s="1083"/>
      <c r="AT10" s="1083"/>
      <c r="AV10" s="769"/>
      <c r="AY10" s="758"/>
      <c r="BA10" s="951" t="s">
        <v>1706</v>
      </c>
      <c r="BB10" s="769"/>
      <c r="BE10" s="758"/>
      <c r="BG10" s="951" t="s">
        <v>1705</v>
      </c>
      <c r="BH10" s="769"/>
      <c r="BK10" s="758"/>
      <c r="BM10" s="951" t="s">
        <v>1705</v>
      </c>
      <c r="BN10" s="769"/>
      <c r="BP10" s="770"/>
      <c r="BQ10" s="770"/>
      <c r="BS10" s="758"/>
      <c r="BU10" s="951" t="s">
        <v>1706</v>
      </c>
      <c r="BV10" s="770"/>
      <c r="BW10" s="761"/>
      <c r="BX10" s="770"/>
      <c r="BY10" s="770"/>
      <c r="BZ10" s="770"/>
      <c r="CA10" s="770"/>
      <c r="CB10" s="761"/>
      <c r="CC10" s="770"/>
      <c r="CD10" s="769"/>
      <c r="CF10" s="758"/>
      <c r="CH10" s="951" t="s">
        <v>1705</v>
      </c>
      <c r="CI10" s="770"/>
      <c r="CL10" s="758"/>
      <c r="CN10" s="951" t="s">
        <v>1706</v>
      </c>
      <c r="CO10" s="770"/>
      <c r="CP10" s="761"/>
      <c r="CR10" s="758"/>
      <c r="CT10" s="951" t="s">
        <v>1705</v>
      </c>
      <c r="CU10" s="770"/>
      <c r="CV10" s="761"/>
      <c r="CX10" s="758"/>
      <c r="CZ10" s="951" t="s">
        <v>1705</v>
      </c>
      <c r="DA10" s="770"/>
      <c r="DB10" s="761"/>
      <c r="DD10" s="758"/>
      <c r="DF10" s="951" t="s">
        <v>1705</v>
      </c>
      <c r="DG10" s="770"/>
      <c r="DH10" s="761"/>
      <c r="DJ10" s="758"/>
      <c r="DL10" s="951" t="s">
        <v>1705</v>
      </c>
      <c r="DM10" s="769"/>
      <c r="DN10" s="761"/>
      <c r="DP10" s="758"/>
      <c r="DR10" s="951" t="s">
        <v>1705</v>
      </c>
      <c r="DS10" s="770"/>
      <c r="DT10" s="761"/>
      <c r="DU10" s="770"/>
      <c r="DV10" s="770"/>
      <c r="DX10" s="758"/>
      <c r="DZ10" s="951" t="s">
        <v>1705</v>
      </c>
      <c r="EA10" s="770"/>
      <c r="EB10" s="761"/>
      <c r="EC10" s="770"/>
      <c r="ED10" s="770"/>
      <c r="EF10" s="758"/>
      <c r="EH10" s="951" t="s">
        <v>1705</v>
      </c>
      <c r="EI10" s="770"/>
      <c r="EJ10" s="761"/>
      <c r="EL10" s="758"/>
      <c r="EN10" s="951" t="s">
        <v>1705</v>
      </c>
      <c r="EO10" s="770"/>
      <c r="EP10" s="761"/>
      <c r="ER10" s="758"/>
      <c r="ET10" s="951" t="s">
        <v>1705</v>
      </c>
      <c r="EU10" s="770"/>
      <c r="EV10" s="761"/>
      <c r="EX10" s="758"/>
      <c r="EZ10" s="951" t="s">
        <v>1705</v>
      </c>
      <c r="FA10" s="770"/>
      <c r="FB10" s="770"/>
      <c r="FH10" s="758"/>
      <c r="FJ10" s="951" t="s">
        <v>1705</v>
      </c>
      <c r="FN10" s="758"/>
      <c r="FP10" s="951" t="s">
        <v>1705</v>
      </c>
      <c r="FR10" s="758"/>
      <c r="FT10" s="758"/>
      <c r="FV10" s="951" t="s">
        <v>1705</v>
      </c>
      <c r="FZ10" s="758"/>
      <c r="GB10" s="951" t="s">
        <v>1705</v>
      </c>
      <c r="GF10" s="758"/>
      <c r="GH10" s="951"/>
    </row>
    <row r="11" spans="1:190" ht="17.25" customHeight="1">
      <c r="A11" s="763" t="s">
        <v>1708</v>
      </c>
      <c r="B11" s="763"/>
      <c r="C11" s="763"/>
      <c r="D11" s="763"/>
      <c r="E11" s="767"/>
      <c r="F11" s="768"/>
      <c r="M11" s="758"/>
      <c r="O11" s="765"/>
      <c r="P11" s="769"/>
      <c r="S11" s="758"/>
      <c r="V11" s="769"/>
      <c r="Y11" s="758"/>
      <c r="AE11" s="758"/>
      <c r="AH11" s="769"/>
      <c r="AJ11" s="769"/>
      <c r="AK11" s="769"/>
      <c r="AM11" s="758"/>
      <c r="AS11" s="758"/>
      <c r="AU11" s="765"/>
      <c r="AV11" s="769"/>
      <c r="AY11" s="758"/>
      <c r="BA11" s="765"/>
      <c r="BB11" s="769"/>
      <c r="BE11" s="758"/>
      <c r="BG11" s="765"/>
      <c r="BH11" s="769"/>
      <c r="BK11" s="758"/>
      <c r="BM11" s="765"/>
      <c r="BN11" s="769"/>
      <c r="BP11" s="770"/>
      <c r="BQ11" s="770"/>
      <c r="BS11" s="758"/>
      <c r="BU11" s="765"/>
      <c r="BV11" s="770"/>
      <c r="BW11" s="761"/>
      <c r="BX11" s="770"/>
      <c r="BY11" s="770"/>
      <c r="BZ11" s="770"/>
      <c r="CA11" s="770"/>
      <c r="CB11" s="761"/>
      <c r="CC11" s="770"/>
      <c r="CD11" s="769"/>
      <c r="CF11" s="758"/>
      <c r="CH11" s="765"/>
      <c r="CI11" s="770"/>
      <c r="CL11" s="758"/>
      <c r="CN11" s="765"/>
      <c r="CO11" s="770"/>
      <c r="CP11" s="761"/>
      <c r="CR11" s="758"/>
      <c r="CT11" s="948"/>
      <c r="CU11" s="770"/>
      <c r="CV11" s="761"/>
      <c r="CX11" s="758"/>
      <c r="CZ11" s="948"/>
      <c r="DA11" s="770"/>
      <c r="DB11" s="761"/>
      <c r="DD11" s="758"/>
      <c r="DF11" s="948"/>
      <c r="DG11" s="770"/>
      <c r="DH11" s="761"/>
      <c r="DJ11" s="758"/>
      <c r="DL11" s="948"/>
      <c r="DM11" s="769"/>
      <c r="DN11" s="761"/>
      <c r="DP11" s="758"/>
      <c r="DR11" s="948"/>
      <c r="DS11" s="770"/>
      <c r="DT11" s="761"/>
      <c r="DU11" s="770"/>
      <c r="DV11" s="770"/>
      <c r="DX11" s="758"/>
      <c r="DZ11" s="948"/>
      <c r="EA11" s="770"/>
      <c r="EC11" s="770"/>
      <c r="ED11" s="770"/>
      <c r="EF11" s="758"/>
      <c r="EH11" s="948"/>
      <c r="EI11" s="770"/>
      <c r="EL11" s="758"/>
      <c r="EN11" s="948"/>
      <c r="EO11" s="770"/>
      <c r="ER11" s="758"/>
      <c r="ET11" s="948"/>
      <c r="EU11" s="770"/>
      <c r="EX11" s="758"/>
      <c r="EZ11" s="765"/>
      <c r="FA11" s="770"/>
      <c r="FB11" s="770"/>
      <c r="FF11" s="758"/>
      <c r="FH11" s="758"/>
      <c r="FJ11" s="948"/>
      <c r="FL11" s="758"/>
      <c r="FN11" s="758"/>
      <c r="FP11" s="948"/>
      <c r="FR11" s="758"/>
      <c r="FT11" s="758"/>
      <c r="FV11" s="948"/>
      <c r="FX11" s="758"/>
      <c r="FZ11" s="758"/>
      <c r="GB11" s="948"/>
      <c r="GD11" s="758"/>
      <c r="GF11" s="758"/>
      <c r="GH11" s="948"/>
    </row>
    <row r="12" spans="1:190" hidden="1">
      <c r="M12" s="758"/>
      <c r="O12" s="758"/>
      <c r="S12" s="758"/>
      <c r="U12" s="758"/>
      <c r="Y12" s="758"/>
      <c r="AA12" s="758"/>
      <c r="AE12" s="758"/>
      <c r="AG12" s="758"/>
      <c r="AM12" s="758"/>
      <c r="AO12" s="758"/>
      <c r="AS12" s="758"/>
      <c r="AU12" s="758"/>
      <c r="AY12" s="758"/>
      <c r="BA12" s="758"/>
      <c r="BE12" s="758"/>
      <c r="BG12" s="758"/>
      <c r="BK12" s="758"/>
      <c r="BM12" s="758"/>
      <c r="BS12" s="758"/>
      <c r="BU12" s="758"/>
      <c r="CF12" s="758"/>
      <c r="CH12" s="758"/>
      <c r="CL12" s="758"/>
      <c r="CN12" s="758"/>
      <c r="CR12" s="758"/>
      <c r="CT12" s="758"/>
      <c r="CX12" s="758"/>
      <c r="CZ12" s="758"/>
      <c r="DD12" s="758"/>
      <c r="DF12" s="758"/>
      <c r="DJ12" s="758"/>
      <c r="DL12" s="758"/>
      <c r="DP12" s="758"/>
      <c r="DR12" s="758"/>
      <c r="DX12" s="758"/>
      <c r="DZ12" s="758"/>
      <c r="EF12" s="758"/>
      <c r="EH12" s="758"/>
      <c r="EL12" s="758"/>
      <c r="EN12" s="758"/>
      <c r="ER12" s="758"/>
      <c r="ET12" s="758"/>
      <c r="EX12" s="758"/>
      <c r="EZ12" s="758"/>
      <c r="FF12" s="758"/>
      <c r="FH12" s="758"/>
      <c r="FJ12" s="758"/>
      <c r="FL12" s="758"/>
      <c r="FN12" s="758"/>
      <c r="FP12" s="758"/>
      <c r="FR12" s="758"/>
      <c r="FT12" s="758"/>
      <c r="FV12" s="758"/>
      <c r="FX12" s="758"/>
      <c r="FZ12" s="758"/>
      <c r="GB12" s="758"/>
      <c r="GD12" s="758"/>
      <c r="GF12" s="758"/>
      <c r="GH12" s="758"/>
    </row>
    <row r="13" spans="1:190" hidden="1">
      <c r="M13" s="758"/>
      <c r="O13" s="758"/>
      <c r="S13" s="758"/>
      <c r="U13" s="758"/>
      <c r="Y13" s="758"/>
      <c r="AA13" s="758"/>
      <c r="AE13" s="758"/>
      <c r="AG13" s="758"/>
      <c r="AM13" s="758"/>
      <c r="AO13" s="758"/>
      <c r="AS13" s="758"/>
      <c r="AU13" s="758"/>
      <c r="AY13" s="758"/>
      <c r="BA13" s="758"/>
      <c r="BE13" s="758"/>
      <c r="BG13" s="758"/>
      <c r="BK13" s="758"/>
      <c r="BM13" s="758"/>
      <c r="BS13" s="758"/>
      <c r="BU13" s="758"/>
      <c r="CF13" s="758"/>
      <c r="CH13" s="758"/>
      <c r="CL13" s="758"/>
      <c r="CN13" s="758"/>
      <c r="CR13" s="758"/>
      <c r="CT13" s="758"/>
      <c r="CX13" s="758"/>
      <c r="CZ13" s="758"/>
      <c r="DD13" s="758"/>
      <c r="DF13" s="758"/>
      <c r="DJ13" s="758"/>
      <c r="DL13" s="758"/>
      <c r="DP13" s="758"/>
      <c r="DR13" s="758"/>
      <c r="DX13" s="758"/>
      <c r="DZ13" s="758"/>
      <c r="EF13" s="758"/>
      <c r="EH13" s="758"/>
      <c r="EL13" s="758"/>
      <c r="EN13" s="758"/>
      <c r="ER13" s="758"/>
      <c r="ET13" s="758"/>
      <c r="EX13" s="758"/>
      <c r="EZ13" s="758"/>
      <c r="FF13" s="758"/>
      <c r="FH13" s="758"/>
      <c r="FJ13" s="758"/>
      <c r="FL13" s="758"/>
      <c r="FN13" s="758"/>
      <c r="FP13" s="758"/>
      <c r="FR13" s="758"/>
      <c r="FT13" s="758"/>
      <c r="FV13" s="758"/>
      <c r="FX13" s="758"/>
      <c r="FZ13" s="758"/>
      <c r="GB13" s="758"/>
      <c r="GD13" s="758"/>
      <c r="GF13" s="758"/>
      <c r="GH13" s="758"/>
    </row>
    <row r="14" spans="1:190" hidden="1">
      <c r="M14" s="758"/>
      <c r="O14" s="758"/>
      <c r="S14" s="758"/>
      <c r="U14" s="758"/>
      <c r="Y14" s="758"/>
      <c r="AA14" s="758"/>
      <c r="AE14" s="758"/>
      <c r="AG14" s="758"/>
      <c r="AM14" s="758"/>
      <c r="AO14" s="758"/>
      <c r="AS14" s="758"/>
      <c r="AU14" s="758"/>
      <c r="AY14" s="758"/>
      <c r="BA14" s="758"/>
      <c r="BE14" s="758"/>
      <c r="BG14" s="758"/>
      <c r="BK14" s="758"/>
      <c r="BM14" s="758"/>
      <c r="BS14" s="758"/>
      <c r="BU14" s="758"/>
      <c r="CF14" s="758"/>
      <c r="CH14" s="758"/>
      <c r="CL14" s="758"/>
      <c r="CN14" s="758"/>
      <c r="CR14" s="758"/>
      <c r="CT14" s="758"/>
      <c r="CX14" s="758"/>
      <c r="CZ14" s="758"/>
      <c r="DD14" s="758"/>
      <c r="DF14" s="758"/>
      <c r="DJ14" s="758"/>
      <c r="DL14" s="758"/>
      <c r="DP14" s="758"/>
      <c r="DR14" s="758"/>
      <c r="DX14" s="758"/>
      <c r="DZ14" s="758"/>
      <c r="EF14" s="758"/>
      <c r="EH14" s="758"/>
      <c r="EL14" s="758"/>
      <c r="EN14" s="758"/>
      <c r="ER14" s="758"/>
      <c r="ET14" s="758"/>
      <c r="EX14" s="758"/>
      <c r="EZ14" s="758"/>
      <c r="FF14" s="758"/>
      <c r="FH14" s="758"/>
      <c r="FJ14" s="758"/>
      <c r="FL14" s="758"/>
      <c r="FN14" s="758"/>
      <c r="FP14" s="758"/>
      <c r="FR14" s="758"/>
      <c r="FT14" s="758"/>
      <c r="FV14" s="758"/>
      <c r="FX14" s="758"/>
      <c r="FZ14" s="758"/>
      <c r="GB14" s="758"/>
      <c r="GD14" s="758"/>
      <c r="GF14" s="758"/>
      <c r="GH14" s="758"/>
    </row>
    <row r="15" spans="1:190" hidden="1">
      <c r="M15" s="758"/>
      <c r="O15" s="758"/>
      <c r="S15" s="758"/>
      <c r="U15" s="758"/>
      <c r="Y15" s="758"/>
      <c r="AA15" s="758"/>
      <c r="AE15" s="758"/>
      <c r="AG15" s="758"/>
      <c r="AM15" s="758"/>
      <c r="AO15" s="758"/>
      <c r="AS15" s="758"/>
      <c r="AU15" s="758"/>
      <c r="AY15" s="758"/>
      <c r="BA15" s="758"/>
      <c r="BE15" s="758"/>
      <c r="BG15" s="758"/>
      <c r="BK15" s="758"/>
      <c r="BM15" s="758"/>
      <c r="BS15" s="758"/>
      <c r="BU15" s="758"/>
      <c r="CF15" s="758"/>
      <c r="CH15" s="758"/>
      <c r="CL15" s="758"/>
      <c r="CN15" s="758"/>
      <c r="CR15" s="758"/>
      <c r="CT15" s="758"/>
      <c r="CX15" s="758"/>
      <c r="CZ15" s="758"/>
      <c r="DD15" s="758"/>
      <c r="DF15" s="758"/>
      <c r="DJ15" s="758"/>
      <c r="DL15" s="758"/>
      <c r="DP15" s="758"/>
      <c r="DR15" s="758"/>
      <c r="DX15" s="758"/>
      <c r="DZ15" s="758"/>
      <c r="EF15" s="758"/>
      <c r="EH15" s="758"/>
      <c r="EL15" s="758"/>
      <c r="EN15" s="758"/>
      <c r="ER15" s="758"/>
      <c r="ET15" s="758"/>
      <c r="EX15" s="758"/>
      <c r="EZ15" s="758"/>
      <c r="FF15" s="758"/>
      <c r="FH15" s="758"/>
      <c r="FJ15" s="758"/>
      <c r="FL15" s="758"/>
      <c r="FN15" s="758"/>
      <c r="FP15" s="758"/>
      <c r="FR15" s="758"/>
      <c r="FT15" s="758"/>
      <c r="FV15" s="758"/>
      <c r="FX15" s="758"/>
      <c r="FZ15" s="758"/>
      <c r="GB15" s="758"/>
      <c r="GD15" s="758"/>
      <c r="GF15" s="758"/>
      <c r="GH15" s="758"/>
    </row>
    <row r="16" spans="1:190" hidden="1">
      <c r="M16" s="758"/>
      <c r="O16" s="758"/>
      <c r="S16" s="758"/>
      <c r="U16" s="758"/>
      <c r="Y16" s="758"/>
      <c r="AA16" s="758"/>
      <c r="AE16" s="758"/>
      <c r="AG16" s="758"/>
      <c r="AM16" s="758"/>
      <c r="AO16" s="758"/>
      <c r="AS16" s="758"/>
      <c r="AU16" s="758"/>
      <c r="AY16" s="758"/>
      <c r="BA16" s="758"/>
      <c r="BE16" s="758"/>
      <c r="BG16" s="758"/>
      <c r="BK16" s="758"/>
      <c r="BM16" s="758"/>
      <c r="BS16" s="758"/>
      <c r="BU16" s="758"/>
      <c r="CF16" s="758"/>
      <c r="CH16" s="758"/>
      <c r="CL16" s="758"/>
      <c r="CN16" s="758"/>
      <c r="CR16" s="758"/>
      <c r="CT16" s="758"/>
      <c r="CX16" s="758"/>
      <c r="CZ16" s="758"/>
      <c r="DD16" s="758"/>
      <c r="DF16" s="758"/>
      <c r="DJ16" s="758"/>
      <c r="DL16" s="758"/>
      <c r="DP16" s="758"/>
      <c r="DR16" s="758"/>
      <c r="DX16" s="758"/>
      <c r="DZ16" s="758"/>
      <c r="EF16" s="758"/>
      <c r="EH16" s="758"/>
      <c r="EL16" s="758"/>
      <c r="EN16" s="758"/>
      <c r="ER16" s="758"/>
      <c r="ET16" s="758"/>
      <c r="EX16" s="758"/>
      <c r="EZ16" s="758"/>
      <c r="FF16" s="758"/>
      <c r="FH16" s="758"/>
      <c r="FJ16" s="758"/>
      <c r="FL16" s="758"/>
      <c r="FN16" s="758"/>
      <c r="FP16" s="758"/>
      <c r="FR16" s="758"/>
      <c r="FT16" s="758"/>
      <c r="FV16" s="758"/>
      <c r="FX16" s="758"/>
      <c r="FZ16" s="758"/>
      <c r="GB16" s="758"/>
      <c r="GD16" s="758"/>
      <c r="GF16" s="758"/>
      <c r="GH16" s="758"/>
    </row>
    <row r="17" spans="1:196" hidden="1"/>
    <row r="18" spans="1:196" hidden="1"/>
    <row r="19" spans="1:196" hidden="1"/>
    <row r="20" spans="1:196" hidden="1"/>
    <row r="21" spans="1:196" hidden="1"/>
    <row r="22" spans="1:196" hidden="1"/>
    <row r="23" spans="1:196" hidden="1"/>
    <row r="24" spans="1:196" hidden="1"/>
    <row r="25" spans="1:196" hidden="1"/>
    <row r="26" spans="1:196" hidden="1"/>
    <row r="27" spans="1:196" hidden="1"/>
    <row r="28" spans="1:196" hidden="1"/>
    <row r="29" spans="1:196" hidden="1"/>
    <row r="31" spans="1:196">
      <c r="B31" s="954" t="s">
        <v>1709</v>
      </c>
      <c r="C31" s="955"/>
      <c r="D31" s="955"/>
      <c r="E31" s="955"/>
      <c r="F31" s="955"/>
      <c r="G31" s="955"/>
      <c r="H31" s="955"/>
      <c r="I31" s="955"/>
      <c r="J31" s="955"/>
      <c r="K31" s="956"/>
      <c r="L31" s="955"/>
      <c r="M31" s="956"/>
      <c r="N31" s="955"/>
      <c r="O31" s="956"/>
      <c r="P31" s="956"/>
      <c r="Q31" s="956"/>
      <c r="R31" s="955"/>
      <c r="S31" s="956"/>
      <c r="T31" s="955"/>
      <c r="U31" s="956"/>
      <c r="V31" s="956"/>
      <c r="W31" s="956"/>
      <c r="X31" s="955"/>
      <c r="Y31" s="956"/>
      <c r="Z31" s="955"/>
      <c r="AA31" s="956"/>
      <c r="AB31" s="956"/>
      <c r="AC31" s="956"/>
      <c r="AD31" s="955"/>
      <c r="AE31" s="956"/>
      <c r="AF31" s="955"/>
      <c r="AG31" s="956"/>
      <c r="AH31" s="956"/>
      <c r="AI31" s="956"/>
      <c r="AJ31" s="956"/>
      <c r="AK31" s="956"/>
      <c r="AL31" s="955"/>
      <c r="AM31" s="956"/>
      <c r="AN31" s="955"/>
      <c r="AO31" s="956"/>
      <c r="AP31" s="956"/>
      <c r="AQ31" s="956"/>
      <c r="AR31" s="955"/>
      <c r="AS31" s="956"/>
      <c r="AT31" s="955"/>
      <c r="AU31" s="956"/>
      <c r="AV31" s="956"/>
      <c r="AW31" s="956"/>
      <c r="AX31" s="955"/>
      <c r="AY31" s="956"/>
      <c r="AZ31" s="955"/>
      <c r="BA31" s="956"/>
      <c r="BB31" s="956"/>
      <c r="BC31" s="956"/>
      <c r="BD31" s="955"/>
      <c r="BE31" s="956"/>
      <c r="BF31" s="955"/>
      <c r="BG31" s="956"/>
      <c r="BH31" s="956"/>
      <c r="BI31" s="956"/>
      <c r="BJ31" s="955"/>
      <c r="BK31" s="956"/>
      <c r="BL31" s="955"/>
      <c r="BM31" s="957"/>
      <c r="BN31" s="956"/>
      <c r="BO31" s="956"/>
      <c r="BP31" s="955"/>
      <c r="BQ31" s="955"/>
      <c r="BR31" s="955"/>
      <c r="BS31" s="957"/>
      <c r="BT31" s="957"/>
      <c r="BU31" s="957"/>
      <c r="BV31" s="957"/>
      <c r="BW31" s="957"/>
      <c r="BX31" s="957"/>
      <c r="BY31" s="957"/>
      <c r="BZ31" s="957"/>
      <c r="CA31" s="957"/>
      <c r="CB31" s="957"/>
      <c r="CC31" s="957"/>
      <c r="CD31" s="957"/>
      <c r="CE31" s="957"/>
      <c r="CF31" s="957"/>
      <c r="FB31" s="758" t="s">
        <v>1710</v>
      </c>
    </row>
    <row r="32" spans="1:196" ht="56.25" customHeight="1">
      <c r="A32" s="763" t="s">
        <v>237</v>
      </c>
      <c r="J32" s="771">
        <v>1</v>
      </c>
      <c r="K32" s="958" t="s">
        <v>1770</v>
      </c>
      <c r="M32" s="774" t="s">
        <v>1711</v>
      </c>
      <c r="O32" s="958" t="s">
        <v>656</v>
      </c>
      <c r="P32" s="772"/>
      <c r="Q32" s="959" t="s">
        <v>1771</v>
      </c>
      <c r="S32" s="774" t="s">
        <v>1711</v>
      </c>
      <c r="U32" s="959" t="s">
        <v>278</v>
      </c>
      <c r="V32" s="772"/>
      <c r="W32" s="958" t="s">
        <v>1772</v>
      </c>
      <c r="Y32" s="774" t="s">
        <v>1711</v>
      </c>
      <c r="AA32" s="958" t="s">
        <v>616</v>
      </c>
      <c r="AB32" s="772"/>
      <c r="AC32" s="958" t="s">
        <v>1773</v>
      </c>
      <c r="AE32" s="774" t="s">
        <v>1711</v>
      </c>
      <c r="AG32" s="958" t="s">
        <v>487</v>
      </c>
      <c r="AH32" s="772"/>
      <c r="AI32" s="959" t="s">
        <v>1774</v>
      </c>
      <c r="AJ32" s="772"/>
      <c r="AK32" s="959" t="s">
        <v>1712</v>
      </c>
      <c r="AM32" s="774" t="s">
        <v>1711</v>
      </c>
      <c r="AO32" s="959" t="s">
        <v>490</v>
      </c>
      <c r="AQ32" s="958" t="s">
        <v>488</v>
      </c>
      <c r="AS32" s="774" t="s">
        <v>1711</v>
      </c>
      <c r="AU32" s="774" t="s">
        <v>579</v>
      </c>
      <c r="AV32" s="772"/>
      <c r="AW32" s="958" t="s">
        <v>1775</v>
      </c>
      <c r="AY32" s="774" t="s">
        <v>1711</v>
      </c>
      <c r="BA32" s="958" t="s">
        <v>35</v>
      </c>
      <c r="BB32" s="772"/>
      <c r="BC32" s="959" t="s">
        <v>1776</v>
      </c>
      <c r="BE32" s="774" t="s">
        <v>1711</v>
      </c>
      <c r="BG32" s="959" t="s">
        <v>491</v>
      </c>
      <c r="BH32" s="772"/>
      <c r="BI32" s="959" t="s">
        <v>1777</v>
      </c>
      <c r="BK32" s="774" t="s">
        <v>1711</v>
      </c>
      <c r="BM32" s="959" t="s">
        <v>1092</v>
      </c>
      <c r="BN32" s="772"/>
      <c r="BO32" s="958" t="s">
        <v>1778</v>
      </c>
      <c r="BQ32" s="960" t="s">
        <v>1713</v>
      </c>
      <c r="BS32" s="774" t="s">
        <v>1711</v>
      </c>
      <c r="BU32" s="958" t="s">
        <v>489</v>
      </c>
      <c r="BW32" s="959" t="s">
        <v>1779</v>
      </c>
      <c r="BZ32" s="960" t="s">
        <v>1714</v>
      </c>
      <c r="CB32" s="961" t="s">
        <v>1368</v>
      </c>
      <c r="CD32" s="960" t="s">
        <v>1715</v>
      </c>
      <c r="CF32" s="774" t="s">
        <v>1711</v>
      </c>
      <c r="CH32" s="959" t="s">
        <v>53</v>
      </c>
      <c r="CJ32" s="958" t="s">
        <v>1780</v>
      </c>
      <c r="CL32" s="774" t="s">
        <v>1711</v>
      </c>
      <c r="CN32" s="958" t="s">
        <v>751</v>
      </c>
      <c r="CP32" s="959" t="s">
        <v>1781</v>
      </c>
      <c r="CR32" s="774" t="s">
        <v>1711</v>
      </c>
      <c r="CT32" s="959" t="s">
        <v>54</v>
      </c>
      <c r="CV32" s="962" t="s">
        <v>1782</v>
      </c>
      <c r="CX32" s="774" t="s">
        <v>1711</v>
      </c>
      <c r="CZ32" s="962" t="s">
        <v>1716</v>
      </c>
      <c r="DB32" s="959" t="s">
        <v>1783</v>
      </c>
      <c r="DD32" s="774" t="s">
        <v>1711</v>
      </c>
      <c r="DF32" s="959" t="s">
        <v>55</v>
      </c>
      <c r="DH32" s="962" t="s">
        <v>1784</v>
      </c>
      <c r="DJ32" s="774" t="s">
        <v>1711</v>
      </c>
      <c r="DL32" s="962" t="s">
        <v>1717</v>
      </c>
      <c r="DM32" s="963"/>
      <c r="DN32" s="962" t="s">
        <v>1785</v>
      </c>
      <c r="DP32" s="774" t="s">
        <v>1711</v>
      </c>
      <c r="DR32" s="962" t="s">
        <v>1718</v>
      </c>
      <c r="DT32" s="964" t="s">
        <v>1786</v>
      </c>
      <c r="DV32" s="965"/>
      <c r="DX32" s="774" t="s">
        <v>1711</v>
      </c>
      <c r="DZ32" s="930" t="s">
        <v>983</v>
      </c>
      <c r="EB32" s="959" t="s">
        <v>1787</v>
      </c>
      <c r="ED32" s="966"/>
      <c r="EF32" s="774" t="s">
        <v>1711</v>
      </c>
      <c r="EH32" s="959" t="s">
        <v>56</v>
      </c>
      <c r="EJ32" s="959" t="s">
        <v>1788</v>
      </c>
      <c r="EL32" s="774" t="s">
        <v>1711</v>
      </c>
      <c r="EN32" s="959" t="s">
        <v>57</v>
      </c>
      <c r="EP32" s="959" t="s">
        <v>1789</v>
      </c>
      <c r="ER32" s="774" t="s">
        <v>1711</v>
      </c>
      <c r="ET32" s="959" t="s">
        <v>700</v>
      </c>
      <c r="EV32" s="959" t="s">
        <v>1790</v>
      </c>
      <c r="EX32" s="774" t="s">
        <v>1711</v>
      </c>
      <c r="EZ32" s="930" t="s">
        <v>945</v>
      </c>
      <c r="FB32" s="960"/>
      <c r="FD32" s="967" t="s">
        <v>1369</v>
      </c>
      <c r="FF32" s="959" t="s">
        <v>1791</v>
      </c>
      <c r="FH32" s="774" t="s">
        <v>1711</v>
      </c>
      <c r="FJ32" s="959" t="s">
        <v>702</v>
      </c>
      <c r="FL32" s="959" t="s">
        <v>1792</v>
      </c>
      <c r="FN32" s="774" t="s">
        <v>1711</v>
      </c>
      <c r="FP32" s="959" t="s">
        <v>1364</v>
      </c>
      <c r="FR32" s="959" t="s">
        <v>1793</v>
      </c>
      <c r="FT32" s="774" t="s">
        <v>1711</v>
      </c>
      <c r="FV32" s="959" t="s">
        <v>1370</v>
      </c>
      <c r="FX32" s="962" t="s">
        <v>1794</v>
      </c>
      <c r="FZ32" s="774" t="s">
        <v>1711</v>
      </c>
      <c r="GB32" s="962" t="s">
        <v>1719</v>
      </c>
      <c r="GD32" s="1032" t="s">
        <v>1861</v>
      </c>
      <c r="GF32" s="774" t="s">
        <v>1711</v>
      </c>
      <c r="GH32" s="1032" t="s">
        <v>1359</v>
      </c>
      <c r="GK32" s="758" t="s">
        <v>1720</v>
      </c>
      <c r="GL32" s="759" t="s">
        <v>1721</v>
      </c>
      <c r="GM32" s="759" t="s">
        <v>1722</v>
      </c>
      <c r="GN32" s="759"/>
    </row>
    <row r="33" spans="1:197">
      <c r="A33" s="766"/>
      <c r="J33" s="758">
        <v>2</v>
      </c>
      <c r="DV33" s="968"/>
      <c r="ED33" s="969"/>
    </row>
    <row r="34" spans="1:197">
      <c r="A34" s="758" t="s">
        <v>679</v>
      </c>
      <c r="J34" s="771">
        <v>3</v>
      </c>
      <c r="K34" s="775"/>
      <c r="M34" s="775"/>
      <c r="O34" s="775">
        <f>K34+M34</f>
        <v>0</v>
      </c>
      <c r="Q34" s="775"/>
      <c r="S34" s="775"/>
      <c r="U34" s="775">
        <f>Q34+S34</f>
        <v>0</v>
      </c>
      <c r="W34" s="775">
        <v>25918893</v>
      </c>
      <c r="Y34" s="775"/>
      <c r="AA34" s="775">
        <f>W34+Y34</f>
        <v>25918893</v>
      </c>
      <c r="AC34" s="775">
        <v>26141729</v>
      </c>
      <c r="AE34" s="775"/>
      <c r="AG34" s="775">
        <f>AC34+AE34</f>
        <v>26141729</v>
      </c>
      <c r="AI34" s="775"/>
      <c r="AK34" s="970">
        <v>0</v>
      </c>
      <c r="AM34" s="775"/>
      <c r="AO34" s="775">
        <f>AI34+AM34</f>
        <v>0</v>
      </c>
      <c r="AQ34" s="775"/>
      <c r="AS34" s="775"/>
      <c r="AU34" s="775">
        <f>AQ34+AS34</f>
        <v>0</v>
      </c>
      <c r="AW34" s="775">
        <v>348039</v>
      </c>
      <c r="AY34" s="775"/>
      <c r="BA34" s="775">
        <f>AW34+AY34</f>
        <v>348039</v>
      </c>
      <c r="BC34" s="775"/>
      <c r="BE34" s="775"/>
      <c r="BG34" s="775">
        <f>BC34+BE34</f>
        <v>0</v>
      </c>
      <c r="BI34" s="776">
        <v>7750918</v>
      </c>
      <c r="BK34" s="775"/>
      <c r="BM34" s="775">
        <f>BI34+BK34</f>
        <v>7750918</v>
      </c>
      <c r="BO34" s="775"/>
      <c r="BQ34" s="970"/>
      <c r="BS34" s="775"/>
      <c r="BU34" s="775">
        <f>BO34+BS34</f>
        <v>0</v>
      </c>
      <c r="BW34" s="775"/>
      <c r="BZ34" s="970"/>
      <c r="CB34" s="775"/>
      <c r="CD34" s="970"/>
      <c r="CF34" s="775"/>
      <c r="CH34" s="775">
        <f>BW34+CF34</f>
        <v>0</v>
      </c>
      <c r="CJ34" s="775"/>
      <c r="CL34" s="775"/>
      <c r="CN34" s="775">
        <f>CJ34+CL34</f>
        <v>0</v>
      </c>
      <c r="CP34" s="775">
        <v>631086</v>
      </c>
      <c r="CR34" s="775"/>
      <c r="CT34" s="775">
        <f>CP34+CR34</f>
        <v>631086</v>
      </c>
      <c r="CV34" s="775"/>
      <c r="CX34" s="775"/>
      <c r="CZ34" s="775">
        <f>CV34+CX34</f>
        <v>0</v>
      </c>
      <c r="DB34" s="775"/>
      <c r="DD34" s="775"/>
      <c r="DF34" s="775">
        <f>DB34+DD34</f>
        <v>0</v>
      </c>
      <c r="DH34" s="775"/>
      <c r="DJ34" s="775"/>
      <c r="DL34" s="775">
        <f>DH34+DJ34</f>
        <v>0</v>
      </c>
      <c r="DN34" s="775"/>
      <c r="DP34" s="775"/>
      <c r="DR34" s="775">
        <f>DN34+DP34</f>
        <v>0</v>
      </c>
      <c r="DT34" s="775"/>
      <c r="DV34" s="971">
        <v>0</v>
      </c>
      <c r="DX34" s="775"/>
      <c r="DZ34" s="775">
        <f>DT34+DX34</f>
        <v>0</v>
      </c>
      <c r="EB34" s="775"/>
      <c r="ED34" s="972">
        <v>0</v>
      </c>
      <c r="EF34" s="775"/>
      <c r="EH34" s="775">
        <f>EB34+EF34</f>
        <v>0</v>
      </c>
      <c r="EJ34" s="775"/>
      <c r="EL34" s="775"/>
      <c r="EN34" s="775">
        <f>EJ34+EL34</f>
        <v>0</v>
      </c>
      <c r="EP34" s="775"/>
      <c r="ER34" s="775"/>
      <c r="ET34" s="775">
        <f>EP34+ER34</f>
        <v>0</v>
      </c>
      <c r="EV34" s="775">
        <v>900686</v>
      </c>
      <c r="EX34" s="775"/>
      <c r="EZ34" s="775">
        <f>EV34+EX34</f>
        <v>900686</v>
      </c>
      <c r="FB34" s="775"/>
      <c r="FD34" s="775"/>
      <c r="FF34" s="775"/>
      <c r="FH34" s="775"/>
      <c r="FJ34" s="775">
        <f>FF34+FH34</f>
        <v>0</v>
      </c>
      <c r="FL34" s="775"/>
      <c r="FN34" s="775"/>
      <c r="FP34" s="775">
        <f>FL34+FN34</f>
        <v>0</v>
      </c>
      <c r="FR34" s="775"/>
      <c r="FT34" s="775"/>
      <c r="FV34" s="775">
        <f>FR34+FT34</f>
        <v>0</v>
      </c>
      <c r="FX34" s="775"/>
      <c r="FZ34" s="775"/>
      <c r="GB34" s="775">
        <f>FX34+FZ34</f>
        <v>0</v>
      </c>
      <c r="GD34" s="775"/>
      <c r="GF34" s="775"/>
      <c r="GH34" s="775">
        <v>0</v>
      </c>
      <c r="GK34" s="761">
        <f t="shared" ref="GK34:GK42" si="0">O34+U34+AA34+AG34+AO34+AU34+BA34+BG34+BM34+BU34+CH34+CN34+CT34+CZ34+DF34+DL34+DR34+DZ34+EH34+EN34+ET34+EZ34+FJ34+FP34+FV34+GB34</f>
        <v>61691351</v>
      </c>
      <c r="GL34" s="973">
        <f>GK34/1000</f>
        <v>61691.351000000002</v>
      </c>
      <c r="GM34" s="761">
        <f>O34+U34+AA34+AG34+AO34+BA34+BG34+BM34+BU34+CH34+CN34+CT34+DF34+DZ34+EH34+EN34+ET34+EZ34+FJ34+FP34+FV34</f>
        <v>61691351</v>
      </c>
      <c r="GN34" s="973"/>
    </row>
    <row r="35" spans="1:197">
      <c r="A35" s="758" t="s">
        <v>680</v>
      </c>
      <c r="J35" s="758">
        <v>4</v>
      </c>
      <c r="K35" s="775">
        <v>239869</v>
      </c>
      <c r="M35" s="775"/>
      <c r="O35" s="775">
        <f t="shared" ref="O35:O41" si="1">K35+M35</f>
        <v>239869</v>
      </c>
      <c r="Q35" s="775">
        <v>4223085</v>
      </c>
      <c r="S35" s="775"/>
      <c r="U35" s="775">
        <f t="shared" ref="U35:U41" si="2">Q35+S35</f>
        <v>4223085</v>
      </c>
      <c r="W35" s="775"/>
      <c r="Y35" s="775"/>
      <c r="AA35" s="775">
        <f t="shared" ref="AA35:AA41" si="3">W35+Y35</f>
        <v>0</v>
      </c>
      <c r="AC35" s="775"/>
      <c r="AE35" s="775"/>
      <c r="AG35" s="775">
        <f t="shared" ref="AG35:AG41" si="4">AC35+AE35</f>
        <v>0</v>
      </c>
      <c r="AI35" s="775">
        <v>166726</v>
      </c>
      <c r="AK35" s="970">
        <v>0</v>
      </c>
      <c r="AM35" s="775"/>
      <c r="AO35" s="775">
        <f t="shared" ref="AO35:AO41" si="5">AI35+AM35</f>
        <v>166726</v>
      </c>
      <c r="AQ35" s="775"/>
      <c r="AS35" s="775"/>
      <c r="AU35" s="775">
        <f t="shared" ref="AU35:AU41" si="6">AQ35+AS35</f>
        <v>0</v>
      </c>
      <c r="AW35" s="775">
        <v>3615912</v>
      </c>
      <c r="AY35" s="775"/>
      <c r="BA35" s="775">
        <f t="shared" ref="BA35:BA41" si="7">AW35+AY35</f>
        <v>3615912</v>
      </c>
      <c r="BC35" s="775">
        <v>904268</v>
      </c>
      <c r="BE35" s="775"/>
      <c r="BG35" s="775">
        <f t="shared" ref="BG35:BG41" si="8">BC35+BE35</f>
        <v>904268</v>
      </c>
      <c r="BI35" s="775"/>
      <c r="BK35" s="775"/>
      <c r="BM35" s="775">
        <f t="shared" ref="BM35:BM41" si="9">BI35+BK35</f>
        <v>0</v>
      </c>
      <c r="BO35" s="775">
        <v>1295836</v>
      </c>
      <c r="BQ35" s="970"/>
      <c r="BS35" s="775"/>
      <c r="BU35" s="775">
        <f t="shared" ref="BU35:BU41" si="10">BO35+BS35</f>
        <v>1295836</v>
      </c>
      <c r="BW35" s="775">
        <v>5395270</v>
      </c>
      <c r="BZ35" s="970"/>
      <c r="CB35" s="775"/>
      <c r="CD35" s="970"/>
      <c r="CF35" s="775"/>
      <c r="CH35" s="775">
        <f t="shared" ref="CH35:CH41" si="11">BW35+CF35</f>
        <v>5395270</v>
      </c>
      <c r="CJ35" s="775">
        <v>483351</v>
      </c>
      <c r="CL35" s="775"/>
      <c r="CN35" s="775">
        <f t="shared" ref="CN35:CN41" si="12">CJ35+CL35</f>
        <v>483351</v>
      </c>
      <c r="CP35" s="775"/>
      <c r="CR35" s="775"/>
      <c r="CT35" s="775">
        <f t="shared" ref="CT35:CT41" si="13">CP35+CR35</f>
        <v>0</v>
      </c>
      <c r="CV35" s="775">
        <v>395141</v>
      </c>
      <c r="CX35" s="775"/>
      <c r="CZ35" s="775">
        <f t="shared" ref="CZ35:CZ41" si="14">CV35+CX35</f>
        <v>395141</v>
      </c>
      <c r="DB35" s="775">
        <v>52613000</v>
      </c>
      <c r="DD35" s="775"/>
      <c r="DF35" s="775">
        <f t="shared" ref="DF35:DF41" si="15">DB35+DD35</f>
        <v>52613000</v>
      </c>
      <c r="DH35" s="775">
        <v>123456</v>
      </c>
      <c r="DJ35" s="775"/>
      <c r="DL35" s="775">
        <f t="shared" ref="DL35:DL41" si="16">DH35+DJ35</f>
        <v>123456</v>
      </c>
      <c r="DN35" s="775">
        <v>2250077</v>
      </c>
      <c r="DP35" s="775"/>
      <c r="DR35" s="775">
        <f t="shared" ref="DR35:DR41" si="17">DN35+DP35</f>
        <v>2250077</v>
      </c>
      <c r="DT35" s="775">
        <v>1508842</v>
      </c>
      <c r="DV35" s="971"/>
      <c r="DX35" s="775"/>
      <c r="DZ35" s="775">
        <f t="shared" ref="DZ35:DZ41" si="18">DT35+DX35</f>
        <v>1508842</v>
      </c>
      <c r="EB35" s="776">
        <v>54437273</v>
      </c>
      <c r="ED35" s="972">
        <v>0</v>
      </c>
      <c r="EF35" s="775"/>
      <c r="EH35" s="775">
        <f t="shared" ref="EH35:EH41" si="19">EB35+EF35</f>
        <v>54437273</v>
      </c>
      <c r="EJ35" s="775">
        <v>608805</v>
      </c>
      <c r="EL35" s="775"/>
      <c r="EN35" s="775">
        <f t="shared" ref="EN35:EN40" si="20">EJ35+EL35</f>
        <v>608805</v>
      </c>
      <c r="EP35" s="775">
        <v>25583128</v>
      </c>
      <c r="ER35" s="775"/>
      <c r="ET35" s="775">
        <f t="shared" ref="ET35:ET40" si="21">EP35+ER35</f>
        <v>25583128</v>
      </c>
      <c r="EV35" s="775">
        <v>133252300</v>
      </c>
      <c r="EX35" s="775"/>
      <c r="EZ35" s="775">
        <f t="shared" ref="EZ35:EZ40" si="22">EV35+EX35</f>
        <v>133252300</v>
      </c>
      <c r="FB35" s="775"/>
      <c r="FD35" s="775"/>
      <c r="FF35" s="775"/>
      <c r="FH35" s="775"/>
      <c r="FJ35" s="775">
        <f t="shared" ref="FJ35:FJ40" si="23">FF35+FH35</f>
        <v>0</v>
      </c>
      <c r="FL35" s="775">
        <v>150786</v>
      </c>
      <c r="FN35" s="775"/>
      <c r="FP35" s="775">
        <f t="shared" ref="FP35:FP40" si="24">FL35+FN35</f>
        <v>150786</v>
      </c>
      <c r="FR35" s="775">
        <v>71176</v>
      </c>
      <c r="FT35" s="775"/>
      <c r="FV35" s="775">
        <f t="shared" ref="FV35:FV40" si="25">FR35+FT35</f>
        <v>71176</v>
      </c>
      <c r="FX35" s="775">
        <v>8050217</v>
      </c>
      <c r="FZ35" s="775"/>
      <c r="GB35" s="775">
        <f t="shared" ref="GB35:GB41" si="26">FX35+FZ35</f>
        <v>8050217</v>
      </c>
      <c r="GD35" s="775">
        <v>254878</v>
      </c>
      <c r="GF35" s="775"/>
      <c r="GH35" s="775">
        <v>254878</v>
      </c>
      <c r="GK35" s="761">
        <f t="shared" si="0"/>
        <v>295368518</v>
      </c>
      <c r="GL35" s="973">
        <f t="shared" ref="GL35:GL98" si="27">GK35/1000</f>
        <v>295368.51799999998</v>
      </c>
      <c r="GM35" s="761">
        <f t="shared" ref="GM35:GM42" si="28">O35+U35+AA35+AG35+AO35+BA35+BG35+BM35+BU35+CH35+CN35+CT35+DF35+DZ35+EH35+EN35+ET35+EZ35+FJ35+FP35+FV35</f>
        <v>284549627</v>
      </c>
      <c r="GN35" s="973"/>
    </row>
    <row r="36" spans="1:197">
      <c r="A36" s="758" t="s">
        <v>539</v>
      </c>
      <c r="J36" s="771">
        <v>5</v>
      </c>
      <c r="K36" s="775"/>
      <c r="M36" s="775"/>
      <c r="O36" s="775">
        <f t="shared" si="1"/>
        <v>0</v>
      </c>
      <c r="Q36" s="775"/>
      <c r="S36" s="775"/>
      <c r="U36" s="775">
        <f t="shared" si="2"/>
        <v>0</v>
      </c>
      <c r="W36" s="775">
        <v>2569746</v>
      </c>
      <c r="Y36" s="775"/>
      <c r="AA36" s="775">
        <f t="shared" si="3"/>
        <v>2569746</v>
      </c>
      <c r="AC36" s="776">
        <v>2591840</v>
      </c>
      <c r="AE36" s="775"/>
      <c r="AG36" s="775">
        <f t="shared" si="4"/>
        <v>2591840</v>
      </c>
      <c r="AI36" s="775"/>
      <c r="AK36" s="970">
        <v>0</v>
      </c>
      <c r="AM36" s="775"/>
      <c r="AO36" s="775">
        <f t="shared" si="5"/>
        <v>0</v>
      </c>
      <c r="AQ36" s="775"/>
      <c r="AS36" s="775"/>
      <c r="AU36" s="775">
        <f t="shared" si="6"/>
        <v>0</v>
      </c>
      <c r="AW36" s="775">
        <v>1103482</v>
      </c>
      <c r="AY36" s="775"/>
      <c r="BA36" s="775">
        <f t="shared" si="7"/>
        <v>1103482</v>
      </c>
      <c r="BC36" s="775"/>
      <c r="BE36" s="775"/>
      <c r="BG36" s="775">
        <f t="shared" si="8"/>
        <v>0</v>
      </c>
      <c r="BI36" s="775">
        <v>768470</v>
      </c>
      <c r="BK36" s="775"/>
      <c r="BM36" s="775">
        <f t="shared" si="9"/>
        <v>768470</v>
      </c>
      <c r="BO36" s="775"/>
      <c r="BQ36" s="970"/>
      <c r="BS36" s="775"/>
      <c r="BU36" s="775">
        <f t="shared" si="10"/>
        <v>0</v>
      </c>
      <c r="BW36" s="775"/>
      <c r="BZ36" s="970"/>
      <c r="CB36" s="775"/>
      <c r="CD36" s="970"/>
      <c r="CF36" s="775"/>
      <c r="CH36" s="775">
        <f t="shared" si="11"/>
        <v>0</v>
      </c>
      <c r="CJ36" s="775"/>
      <c r="CL36" s="775"/>
      <c r="CN36" s="775">
        <f t="shared" si="12"/>
        <v>0</v>
      </c>
      <c r="CP36" s="775"/>
      <c r="CR36" s="775"/>
      <c r="CT36" s="775">
        <f t="shared" si="13"/>
        <v>0</v>
      </c>
      <c r="CV36" s="775"/>
      <c r="CX36" s="775"/>
      <c r="CZ36" s="775">
        <f t="shared" si="14"/>
        <v>0</v>
      </c>
      <c r="DB36" s="775"/>
      <c r="DD36" s="775"/>
      <c r="DF36" s="775">
        <f t="shared" si="15"/>
        <v>0</v>
      </c>
      <c r="DH36" s="775"/>
      <c r="DJ36" s="775"/>
      <c r="DL36" s="775">
        <f t="shared" si="16"/>
        <v>0</v>
      </c>
      <c r="DN36" s="775"/>
      <c r="DP36" s="775"/>
      <c r="DR36" s="775">
        <f t="shared" si="17"/>
        <v>0</v>
      </c>
      <c r="DT36" s="775"/>
      <c r="DV36" s="971">
        <v>0</v>
      </c>
      <c r="DX36" s="775"/>
      <c r="DZ36" s="775">
        <f t="shared" si="18"/>
        <v>0</v>
      </c>
      <c r="EB36" s="775"/>
      <c r="ED36" s="972">
        <v>0</v>
      </c>
      <c r="EF36" s="775"/>
      <c r="EH36" s="775">
        <f t="shared" si="19"/>
        <v>0</v>
      </c>
      <c r="EJ36" s="775"/>
      <c r="EL36" s="775"/>
      <c r="EN36" s="775">
        <f t="shared" si="20"/>
        <v>0</v>
      </c>
      <c r="EP36" s="775"/>
      <c r="ER36" s="775"/>
      <c r="ET36" s="775">
        <f t="shared" si="21"/>
        <v>0</v>
      </c>
      <c r="EV36" s="775">
        <v>6173463</v>
      </c>
      <c r="EX36" s="775">
        <v>1648397</v>
      </c>
      <c r="EZ36" s="775">
        <f t="shared" si="22"/>
        <v>7821860</v>
      </c>
      <c r="FB36" s="775"/>
      <c r="FD36" s="775"/>
      <c r="FF36" s="775"/>
      <c r="FH36" s="775"/>
      <c r="FJ36" s="775">
        <f t="shared" si="23"/>
        <v>0</v>
      </c>
      <c r="FL36" s="775"/>
      <c r="FN36" s="775"/>
      <c r="FP36" s="775">
        <f t="shared" si="24"/>
        <v>0</v>
      </c>
      <c r="FR36" s="775"/>
      <c r="FT36" s="775"/>
      <c r="FV36" s="775">
        <f t="shared" si="25"/>
        <v>0</v>
      </c>
      <c r="FX36" s="775"/>
      <c r="FZ36" s="775"/>
      <c r="GB36" s="775">
        <f t="shared" si="26"/>
        <v>0</v>
      </c>
      <c r="GD36" s="775"/>
      <c r="GF36" s="775"/>
      <c r="GH36" s="775">
        <v>0</v>
      </c>
      <c r="GK36" s="761">
        <f t="shared" si="0"/>
        <v>14855398</v>
      </c>
      <c r="GL36" s="973">
        <f t="shared" si="27"/>
        <v>14855.397999999999</v>
      </c>
      <c r="GM36" s="761">
        <f t="shared" si="28"/>
        <v>14855398</v>
      </c>
      <c r="GN36" s="973"/>
      <c r="GO36" s="761"/>
    </row>
    <row r="37" spans="1:197">
      <c r="A37" s="758" t="s">
        <v>681</v>
      </c>
      <c r="J37" s="758">
        <v>6</v>
      </c>
      <c r="K37" s="775"/>
      <c r="M37" s="775"/>
      <c r="O37" s="775">
        <f t="shared" si="1"/>
        <v>0</v>
      </c>
      <c r="Q37" s="775">
        <v>6622127</v>
      </c>
      <c r="S37" s="775"/>
      <c r="U37" s="775">
        <f t="shared" si="2"/>
        <v>6622127</v>
      </c>
      <c r="W37" s="775"/>
      <c r="Y37" s="775"/>
      <c r="AA37" s="775">
        <f t="shared" si="3"/>
        <v>0</v>
      </c>
      <c r="AC37" s="775"/>
      <c r="AE37" s="775"/>
      <c r="AG37" s="775">
        <f t="shared" si="4"/>
        <v>0</v>
      </c>
      <c r="AI37" s="775">
        <v>18351267</v>
      </c>
      <c r="AK37" s="970">
        <v>0</v>
      </c>
      <c r="AM37" s="775"/>
      <c r="AO37" s="775">
        <f t="shared" si="5"/>
        <v>18351267</v>
      </c>
      <c r="AQ37" s="775"/>
      <c r="AS37" s="775"/>
      <c r="AU37" s="775">
        <f t="shared" si="6"/>
        <v>0</v>
      </c>
      <c r="AW37" s="775">
        <v>7291667</v>
      </c>
      <c r="AY37" s="775"/>
      <c r="BA37" s="775">
        <f t="shared" si="7"/>
        <v>7291667</v>
      </c>
      <c r="BC37" s="775">
        <v>34730488</v>
      </c>
      <c r="BE37" s="775"/>
      <c r="BG37" s="775">
        <f t="shared" si="8"/>
        <v>34730488</v>
      </c>
      <c r="BI37" s="775"/>
      <c r="BK37" s="775"/>
      <c r="BM37" s="775">
        <f t="shared" si="9"/>
        <v>0</v>
      </c>
      <c r="BO37" s="775">
        <v>1991359</v>
      </c>
      <c r="BQ37" s="970"/>
      <c r="BS37" s="775"/>
      <c r="BU37" s="775">
        <f t="shared" si="10"/>
        <v>1991359</v>
      </c>
      <c r="BW37" s="775"/>
      <c r="BZ37" s="970"/>
      <c r="CB37" s="775"/>
      <c r="CD37" s="970"/>
      <c r="CF37" s="775"/>
      <c r="CH37" s="775">
        <f t="shared" si="11"/>
        <v>0</v>
      </c>
      <c r="CJ37" s="775"/>
      <c r="CL37" s="775"/>
      <c r="CN37" s="775">
        <f t="shared" si="12"/>
        <v>0</v>
      </c>
      <c r="CP37" s="775"/>
      <c r="CR37" s="775"/>
      <c r="CT37" s="775">
        <f t="shared" si="13"/>
        <v>0</v>
      </c>
      <c r="CV37" s="775"/>
      <c r="CX37" s="775"/>
      <c r="CZ37" s="775">
        <f t="shared" si="14"/>
        <v>0</v>
      </c>
      <c r="DB37" s="775"/>
      <c r="DD37" s="775"/>
      <c r="DF37" s="775">
        <f t="shared" si="15"/>
        <v>0</v>
      </c>
      <c r="DH37" s="775"/>
      <c r="DJ37" s="775"/>
      <c r="DL37" s="775">
        <f t="shared" si="16"/>
        <v>0</v>
      </c>
      <c r="DN37" s="775"/>
      <c r="DP37" s="775"/>
      <c r="DR37" s="775">
        <f t="shared" si="17"/>
        <v>0</v>
      </c>
      <c r="DT37" s="775">
        <v>7157514</v>
      </c>
      <c r="DV37" s="971">
        <v>0</v>
      </c>
      <c r="DX37" s="775"/>
      <c r="DZ37" s="775">
        <f t="shared" si="18"/>
        <v>7157514</v>
      </c>
      <c r="EB37" s="775"/>
      <c r="ED37" s="972">
        <v>0</v>
      </c>
      <c r="EF37" s="775"/>
      <c r="EH37" s="775">
        <f t="shared" si="19"/>
        <v>0</v>
      </c>
      <c r="EJ37" s="775">
        <v>6030317</v>
      </c>
      <c r="EL37" s="775"/>
      <c r="EN37" s="775">
        <f t="shared" si="20"/>
        <v>6030317</v>
      </c>
      <c r="EP37" s="775"/>
      <c r="ER37" s="775"/>
      <c r="ET37" s="775">
        <f t="shared" si="21"/>
        <v>0</v>
      </c>
      <c r="EV37" s="775"/>
      <c r="EX37" s="775"/>
      <c r="EZ37" s="775">
        <f t="shared" si="22"/>
        <v>0</v>
      </c>
      <c r="FB37" s="775"/>
      <c r="FD37" s="775"/>
      <c r="FF37" s="775"/>
      <c r="FH37" s="775"/>
      <c r="FJ37" s="775">
        <f t="shared" si="23"/>
        <v>0</v>
      </c>
      <c r="FL37" s="775">
        <v>82651763</v>
      </c>
      <c r="FN37" s="775">
        <v>-41196264</v>
      </c>
      <c r="FP37" s="775">
        <f t="shared" si="24"/>
        <v>41455499</v>
      </c>
      <c r="FR37" s="775">
        <v>502906308</v>
      </c>
      <c r="FT37" s="775"/>
      <c r="FV37" s="775">
        <f t="shared" si="25"/>
        <v>502906308</v>
      </c>
      <c r="FX37" s="775"/>
      <c r="FZ37" s="775"/>
      <c r="GB37" s="775">
        <f t="shared" si="26"/>
        <v>0</v>
      </c>
      <c r="GD37" s="775">
        <v>173901</v>
      </c>
      <c r="GF37" s="775"/>
      <c r="GH37" s="775">
        <v>173901</v>
      </c>
      <c r="GK37" s="761">
        <f t="shared" si="0"/>
        <v>626536546</v>
      </c>
      <c r="GL37" s="973">
        <f t="shared" si="27"/>
        <v>626536.54599999997</v>
      </c>
      <c r="GM37" s="761">
        <f t="shared" si="28"/>
        <v>626536546</v>
      </c>
      <c r="GN37" s="973"/>
    </row>
    <row r="38" spans="1:197">
      <c r="A38" s="758" t="s">
        <v>682</v>
      </c>
      <c r="J38" s="771">
        <v>7</v>
      </c>
      <c r="K38" s="775"/>
      <c r="M38" s="775"/>
      <c r="O38" s="775">
        <f t="shared" si="1"/>
        <v>0</v>
      </c>
      <c r="Q38" s="775"/>
      <c r="S38" s="775"/>
      <c r="U38" s="775">
        <f t="shared" si="2"/>
        <v>0</v>
      </c>
      <c r="W38" s="775"/>
      <c r="Y38" s="775"/>
      <c r="AA38" s="775">
        <f t="shared" si="3"/>
        <v>0</v>
      </c>
      <c r="AC38" s="775"/>
      <c r="AE38" s="775"/>
      <c r="AG38" s="775">
        <f t="shared" si="4"/>
        <v>0</v>
      </c>
      <c r="AI38" s="775"/>
      <c r="AK38" s="970">
        <v>0</v>
      </c>
      <c r="AM38" s="775"/>
      <c r="AO38" s="775">
        <f t="shared" si="5"/>
        <v>0</v>
      </c>
      <c r="AQ38" s="775"/>
      <c r="AS38" s="775"/>
      <c r="AU38" s="775">
        <f t="shared" si="6"/>
        <v>0</v>
      </c>
      <c r="AW38" s="775"/>
      <c r="AY38" s="775"/>
      <c r="BA38" s="775">
        <f t="shared" si="7"/>
        <v>0</v>
      </c>
      <c r="BC38" s="775"/>
      <c r="BE38" s="775"/>
      <c r="BG38" s="775">
        <f t="shared" si="8"/>
        <v>0</v>
      </c>
      <c r="BI38" s="775"/>
      <c r="BK38" s="775"/>
      <c r="BM38" s="775">
        <f t="shared" si="9"/>
        <v>0</v>
      </c>
      <c r="BO38" s="775"/>
      <c r="BQ38" s="970"/>
      <c r="BS38" s="775"/>
      <c r="BU38" s="775">
        <f t="shared" si="10"/>
        <v>0</v>
      </c>
      <c r="BW38" s="775"/>
      <c r="BZ38" s="970"/>
      <c r="CB38" s="775"/>
      <c r="CD38" s="970"/>
      <c r="CF38" s="775"/>
      <c r="CH38" s="775">
        <f t="shared" si="11"/>
        <v>0</v>
      </c>
      <c r="CJ38" s="775"/>
      <c r="CL38" s="775"/>
      <c r="CN38" s="775">
        <f t="shared" si="12"/>
        <v>0</v>
      </c>
      <c r="CP38" s="775"/>
      <c r="CR38" s="775"/>
      <c r="CT38" s="775">
        <f t="shared" si="13"/>
        <v>0</v>
      </c>
      <c r="CV38" s="775"/>
      <c r="CX38" s="775"/>
      <c r="CZ38" s="775">
        <f t="shared" si="14"/>
        <v>0</v>
      </c>
      <c r="DB38" s="775"/>
      <c r="DD38" s="775"/>
      <c r="DF38" s="775">
        <f t="shared" si="15"/>
        <v>0</v>
      </c>
      <c r="DH38" s="775"/>
      <c r="DJ38" s="775"/>
      <c r="DL38" s="775">
        <f t="shared" si="16"/>
        <v>0</v>
      </c>
      <c r="DN38" s="775"/>
      <c r="DP38" s="775"/>
      <c r="DR38" s="775">
        <f t="shared" si="17"/>
        <v>0</v>
      </c>
      <c r="DT38" s="775"/>
      <c r="DV38" s="971">
        <v>0</v>
      </c>
      <c r="DX38" s="775"/>
      <c r="DZ38" s="775">
        <f t="shared" si="18"/>
        <v>0</v>
      </c>
      <c r="EB38" s="775"/>
      <c r="ED38" s="972">
        <v>0</v>
      </c>
      <c r="EF38" s="775"/>
      <c r="EH38" s="775">
        <f t="shared" si="19"/>
        <v>0</v>
      </c>
      <c r="EJ38" s="775"/>
      <c r="EL38" s="775"/>
      <c r="EN38" s="775">
        <f t="shared" si="20"/>
        <v>0</v>
      </c>
      <c r="EP38" s="775"/>
      <c r="ER38" s="775"/>
      <c r="ET38" s="775">
        <f t="shared" si="21"/>
        <v>0</v>
      </c>
      <c r="EV38" s="775"/>
      <c r="EX38" s="775"/>
      <c r="EZ38" s="775">
        <f t="shared" si="22"/>
        <v>0</v>
      </c>
      <c r="FB38" s="775"/>
      <c r="FD38" s="775"/>
      <c r="FF38" s="775"/>
      <c r="FH38" s="775"/>
      <c r="FJ38" s="775">
        <f t="shared" si="23"/>
        <v>0</v>
      </c>
      <c r="FL38" s="775"/>
      <c r="FN38" s="775"/>
      <c r="FP38" s="775">
        <f t="shared" si="24"/>
        <v>0</v>
      </c>
      <c r="FR38" s="775"/>
      <c r="FT38" s="775"/>
      <c r="FV38" s="775">
        <f t="shared" si="25"/>
        <v>0</v>
      </c>
      <c r="FX38" s="775"/>
      <c r="FZ38" s="775"/>
      <c r="GB38" s="775">
        <f t="shared" si="26"/>
        <v>0</v>
      </c>
      <c r="GD38" s="775"/>
      <c r="GF38" s="775"/>
      <c r="GH38" s="775">
        <v>0</v>
      </c>
      <c r="GK38" s="761">
        <f t="shared" si="0"/>
        <v>0</v>
      </c>
      <c r="GL38" s="973">
        <f t="shared" si="27"/>
        <v>0</v>
      </c>
      <c r="GM38" s="761">
        <f t="shared" si="28"/>
        <v>0</v>
      </c>
      <c r="GN38" s="973"/>
    </row>
    <row r="39" spans="1:197">
      <c r="A39" s="758" t="s">
        <v>683</v>
      </c>
      <c r="J39" s="758">
        <v>8</v>
      </c>
      <c r="K39" s="775"/>
      <c r="M39" s="775"/>
      <c r="O39" s="775">
        <f t="shared" si="1"/>
        <v>0</v>
      </c>
      <c r="Q39" s="775"/>
      <c r="S39" s="775"/>
      <c r="U39" s="775">
        <f t="shared" si="2"/>
        <v>0</v>
      </c>
      <c r="W39" s="775"/>
      <c r="Y39" s="775"/>
      <c r="AA39" s="775">
        <f t="shared" si="3"/>
        <v>0</v>
      </c>
      <c r="AC39" s="775"/>
      <c r="AE39" s="775"/>
      <c r="AG39" s="775">
        <f t="shared" si="4"/>
        <v>0</v>
      </c>
      <c r="AI39" s="775"/>
      <c r="AK39" s="970">
        <v>0</v>
      </c>
      <c r="AM39" s="775"/>
      <c r="AO39" s="775">
        <f t="shared" si="5"/>
        <v>0</v>
      </c>
      <c r="AQ39" s="775"/>
      <c r="AS39" s="775"/>
      <c r="AU39" s="775">
        <f t="shared" si="6"/>
        <v>0</v>
      </c>
      <c r="AW39" s="775"/>
      <c r="AY39" s="775"/>
      <c r="BA39" s="775">
        <f t="shared" si="7"/>
        <v>0</v>
      </c>
      <c r="BC39" s="775"/>
      <c r="BE39" s="775"/>
      <c r="BG39" s="775">
        <f t="shared" si="8"/>
        <v>0</v>
      </c>
      <c r="BI39" s="775"/>
      <c r="BK39" s="775"/>
      <c r="BM39" s="775">
        <f t="shared" si="9"/>
        <v>0</v>
      </c>
      <c r="BO39" s="775"/>
      <c r="BQ39" s="970"/>
      <c r="BS39" s="775"/>
      <c r="BU39" s="775">
        <f t="shared" si="10"/>
        <v>0</v>
      </c>
      <c r="BW39" s="775"/>
      <c r="BZ39" s="970"/>
      <c r="CB39" s="775"/>
      <c r="CD39" s="970"/>
      <c r="CF39" s="775"/>
      <c r="CH39" s="775">
        <f t="shared" si="11"/>
        <v>0</v>
      </c>
      <c r="CJ39" s="775"/>
      <c r="CL39" s="775"/>
      <c r="CN39" s="775">
        <f t="shared" si="12"/>
        <v>0</v>
      </c>
      <c r="CP39" s="775"/>
      <c r="CR39" s="775"/>
      <c r="CT39" s="775">
        <f t="shared" si="13"/>
        <v>0</v>
      </c>
      <c r="CV39" s="775"/>
      <c r="CX39" s="775"/>
      <c r="CZ39" s="775">
        <f t="shared" si="14"/>
        <v>0</v>
      </c>
      <c r="DB39" s="775"/>
      <c r="DD39" s="775"/>
      <c r="DF39" s="775">
        <f t="shared" si="15"/>
        <v>0</v>
      </c>
      <c r="DH39" s="775"/>
      <c r="DJ39" s="775"/>
      <c r="DL39" s="775">
        <f t="shared" si="16"/>
        <v>0</v>
      </c>
      <c r="DN39" s="775"/>
      <c r="DP39" s="775"/>
      <c r="DR39" s="775">
        <f t="shared" si="17"/>
        <v>0</v>
      </c>
      <c r="DT39" s="775"/>
      <c r="DV39" s="971">
        <v>0</v>
      </c>
      <c r="DX39" s="775"/>
      <c r="DZ39" s="775">
        <f t="shared" si="18"/>
        <v>0</v>
      </c>
      <c r="EB39" s="775"/>
      <c r="ED39" s="972">
        <v>0</v>
      </c>
      <c r="EF39" s="775"/>
      <c r="EH39" s="775">
        <f t="shared" si="19"/>
        <v>0</v>
      </c>
      <c r="EJ39" s="775"/>
      <c r="EL39" s="775"/>
      <c r="EN39" s="775">
        <f t="shared" si="20"/>
        <v>0</v>
      </c>
      <c r="EP39" s="775"/>
      <c r="ER39" s="775"/>
      <c r="ET39" s="775">
        <f t="shared" si="21"/>
        <v>0</v>
      </c>
      <c r="EV39" s="775"/>
      <c r="EX39" s="775"/>
      <c r="EZ39" s="775">
        <f t="shared" si="22"/>
        <v>0</v>
      </c>
      <c r="FB39" s="775"/>
      <c r="FD39" s="775"/>
      <c r="FF39" s="775"/>
      <c r="FH39" s="775"/>
      <c r="FJ39" s="775">
        <f t="shared" si="23"/>
        <v>0</v>
      </c>
      <c r="FL39" s="775"/>
      <c r="FN39" s="775"/>
      <c r="FP39" s="775">
        <f t="shared" si="24"/>
        <v>0</v>
      </c>
      <c r="FR39" s="775"/>
      <c r="FT39" s="775"/>
      <c r="FV39" s="775">
        <f t="shared" si="25"/>
        <v>0</v>
      </c>
      <c r="FX39" s="775"/>
      <c r="FZ39" s="775"/>
      <c r="GB39" s="775">
        <f t="shared" si="26"/>
        <v>0</v>
      </c>
      <c r="GD39" s="775"/>
      <c r="GF39" s="775"/>
      <c r="GH39" s="775">
        <v>0</v>
      </c>
      <c r="GK39" s="761">
        <f t="shared" si="0"/>
        <v>0</v>
      </c>
      <c r="GL39" s="973">
        <f t="shared" si="27"/>
        <v>0</v>
      </c>
      <c r="GM39" s="761">
        <f t="shared" si="28"/>
        <v>0</v>
      </c>
      <c r="GN39" s="973"/>
    </row>
    <row r="40" spans="1:197">
      <c r="A40" s="758" t="s">
        <v>684</v>
      </c>
      <c r="J40" s="771">
        <v>9</v>
      </c>
      <c r="K40" s="775"/>
      <c r="M40" s="775"/>
      <c r="O40" s="775">
        <f t="shared" si="1"/>
        <v>0</v>
      </c>
      <c r="Q40" s="775"/>
      <c r="S40" s="775"/>
      <c r="U40" s="775">
        <f t="shared" si="2"/>
        <v>0</v>
      </c>
      <c r="W40" s="775"/>
      <c r="Y40" s="775"/>
      <c r="AA40" s="775">
        <f t="shared" si="3"/>
        <v>0</v>
      </c>
      <c r="AC40" s="775"/>
      <c r="AE40" s="775"/>
      <c r="AG40" s="775">
        <f t="shared" si="4"/>
        <v>0</v>
      </c>
      <c r="AI40" s="775"/>
      <c r="AK40" s="970">
        <v>0</v>
      </c>
      <c r="AM40" s="775"/>
      <c r="AO40" s="775">
        <f t="shared" si="5"/>
        <v>0</v>
      </c>
      <c r="AQ40" s="775"/>
      <c r="AS40" s="775"/>
      <c r="AU40" s="775">
        <f t="shared" si="6"/>
        <v>0</v>
      </c>
      <c r="AW40" s="775"/>
      <c r="AY40" s="775"/>
      <c r="BA40" s="775">
        <f t="shared" si="7"/>
        <v>0</v>
      </c>
      <c r="BC40" s="775"/>
      <c r="BE40" s="775"/>
      <c r="BG40" s="775">
        <f t="shared" si="8"/>
        <v>0</v>
      </c>
      <c r="BI40" s="775">
        <v>4039476</v>
      </c>
      <c r="BK40" s="775"/>
      <c r="BM40" s="775">
        <f t="shared" si="9"/>
        <v>4039476</v>
      </c>
      <c r="BO40" s="775"/>
      <c r="BQ40" s="970"/>
      <c r="BS40" s="775"/>
      <c r="BU40" s="775">
        <f t="shared" si="10"/>
        <v>0</v>
      </c>
      <c r="BW40" s="775"/>
      <c r="BZ40" s="970"/>
      <c r="CB40" s="775"/>
      <c r="CD40" s="970"/>
      <c r="CF40" s="775"/>
      <c r="CH40" s="775">
        <f t="shared" si="11"/>
        <v>0</v>
      </c>
      <c r="CJ40" s="775"/>
      <c r="CL40" s="775"/>
      <c r="CN40" s="775">
        <f t="shared" si="12"/>
        <v>0</v>
      </c>
      <c r="CP40" s="775"/>
      <c r="CR40" s="775"/>
      <c r="CT40" s="775">
        <f t="shared" si="13"/>
        <v>0</v>
      </c>
      <c r="CV40" s="775"/>
      <c r="CX40" s="775"/>
      <c r="CZ40" s="775">
        <f t="shared" si="14"/>
        <v>0</v>
      </c>
      <c r="DB40" s="775"/>
      <c r="DD40" s="775"/>
      <c r="DF40" s="775">
        <f t="shared" si="15"/>
        <v>0</v>
      </c>
      <c r="DH40" s="775"/>
      <c r="DJ40" s="775"/>
      <c r="DL40" s="775">
        <f t="shared" si="16"/>
        <v>0</v>
      </c>
      <c r="DN40" s="775"/>
      <c r="DP40" s="775"/>
      <c r="DR40" s="775">
        <f t="shared" si="17"/>
        <v>0</v>
      </c>
      <c r="DT40" s="775"/>
      <c r="DV40" s="971">
        <v>0</v>
      </c>
      <c r="DX40" s="775"/>
      <c r="DZ40" s="775">
        <f t="shared" si="18"/>
        <v>0</v>
      </c>
      <c r="EB40" s="775"/>
      <c r="ED40" s="972">
        <v>0</v>
      </c>
      <c r="EF40" s="775"/>
      <c r="EH40" s="775">
        <f t="shared" si="19"/>
        <v>0</v>
      </c>
      <c r="EJ40" s="775"/>
      <c r="EL40" s="775"/>
      <c r="EN40" s="775">
        <f t="shared" si="20"/>
        <v>0</v>
      </c>
      <c r="EP40" s="775"/>
      <c r="ER40" s="775"/>
      <c r="ET40" s="775">
        <f t="shared" si="21"/>
        <v>0</v>
      </c>
      <c r="EV40" s="775"/>
      <c r="EX40" s="775"/>
      <c r="EZ40" s="775">
        <f t="shared" si="22"/>
        <v>0</v>
      </c>
      <c r="FB40" s="775"/>
      <c r="FD40" s="775"/>
      <c r="FF40" s="775">
        <v>34825719</v>
      </c>
      <c r="FH40" s="775"/>
      <c r="FJ40" s="775">
        <f t="shared" si="23"/>
        <v>34825719</v>
      </c>
      <c r="FL40" s="775"/>
      <c r="FN40" s="775"/>
      <c r="FP40" s="775">
        <f t="shared" si="24"/>
        <v>0</v>
      </c>
      <c r="FR40" s="775"/>
      <c r="FT40" s="775"/>
      <c r="FV40" s="775">
        <f t="shared" si="25"/>
        <v>0</v>
      </c>
      <c r="FX40" s="775"/>
      <c r="FZ40" s="775"/>
      <c r="GB40" s="775">
        <f t="shared" si="26"/>
        <v>0</v>
      </c>
      <c r="GD40" s="775"/>
      <c r="GF40" s="775"/>
      <c r="GH40" s="775">
        <v>0</v>
      </c>
      <c r="GK40" s="761">
        <f t="shared" si="0"/>
        <v>38865195</v>
      </c>
      <c r="GL40" s="973">
        <f t="shared" si="27"/>
        <v>38865.195</v>
      </c>
      <c r="GM40" s="761">
        <f t="shared" si="28"/>
        <v>38865195</v>
      </c>
      <c r="GN40" s="973"/>
    </row>
    <row r="41" spans="1:197">
      <c r="A41" s="758" t="s">
        <v>685</v>
      </c>
      <c r="J41" s="758">
        <v>10</v>
      </c>
      <c r="K41" s="775">
        <v>2589539</v>
      </c>
      <c r="M41" s="775"/>
      <c r="O41" s="775">
        <f t="shared" si="1"/>
        <v>2589539</v>
      </c>
      <c r="Q41" s="775"/>
      <c r="S41" s="775"/>
      <c r="U41" s="775">
        <f t="shared" si="2"/>
        <v>0</v>
      </c>
      <c r="W41" s="775"/>
      <c r="Y41" s="775"/>
      <c r="AA41" s="775">
        <f t="shared" si="3"/>
        <v>0</v>
      </c>
      <c r="AC41" s="775"/>
      <c r="AE41" s="775"/>
      <c r="AG41" s="775">
        <f t="shared" si="4"/>
        <v>0</v>
      </c>
      <c r="AI41" s="775"/>
      <c r="AK41" s="970">
        <v>0</v>
      </c>
      <c r="AM41" s="775"/>
      <c r="AO41" s="775">
        <f t="shared" si="5"/>
        <v>0</v>
      </c>
      <c r="AQ41" s="775"/>
      <c r="AS41" s="775"/>
      <c r="AU41" s="775">
        <f t="shared" si="6"/>
        <v>0</v>
      </c>
      <c r="AW41" s="775"/>
      <c r="AY41" s="775"/>
      <c r="BA41" s="775">
        <f t="shared" si="7"/>
        <v>0</v>
      </c>
      <c r="BC41" s="775"/>
      <c r="BE41" s="775"/>
      <c r="BG41" s="775">
        <f t="shared" si="8"/>
        <v>0</v>
      </c>
      <c r="BI41" s="775"/>
      <c r="BK41" s="775"/>
      <c r="BM41" s="775">
        <f t="shared" si="9"/>
        <v>0</v>
      </c>
      <c r="BO41" s="775"/>
      <c r="BQ41" s="970"/>
      <c r="BS41" s="775"/>
      <c r="BU41" s="775">
        <f t="shared" si="10"/>
        <v>0</v>
      </c>
      <c r="BW41" s="775"/>
      <c r="BZ41" s="970"/>
      <c r="CB41" s="775"/>
      <c r="CD41" s="970"/>
      <c r="CF41" s="775"/>
      <c r="CH41" s="775">
        <f t="shared" si="11"/>
        <v>0</v>
      </c>
      <c r="CJ41" s="775"/>
      <c r="CL41" s="775"/>
      <c r="CN41" s="775">
        <f t="shared" si="12"/>
        <v>0</v>
      </c>
      <c r="CP41" s="775"/>
      <c r="CR41" s="775"/>
      <c r="CT41" s="775">
        <f t="shared" si="13"/>
        <v>0</v>
      </c>
      <c r="CV41" s="775"/>
      <c r="CX41" s="775"/>
      <c r="CZ41" s="775">
        <f t="shared" si="14"/>
        <v>0</v>
      </c>
      <c r="DB41" s="775">
        <v>158756000</v>
      </c>
      <c r="DD41" s="775"/>
      <c r="DF41" s="775">
        <f t="shared" si="15"/>
        <v>158756000</v>
      </c>
      <c r="DH41" s="776"/>
      <c r="DJ41" s="775"/>
      <c r="DL41" s="775">
        <f t="shared" si="16"/>
        <v>0</v>
      </c>
      <c r="DN41" s="775"/>
      <c r="DP41" s="775"/>
      <c r="DR41" s="775">
        <f t="shared" si="17"/>
        <v>0</v>
      </c>
      <c r="DT41" s="775"/>
      <c r="DV41" s="971">
        <v>0</v>
      </c>
      <c r="DX41" s="775"/>
      <c r="DZ41" s="775">
        <f t="shared" si="18"/>
        <v>0</v>
      </c>
      <c r="EB41" s="775"/>
      <c r="ED41" s="972">
        <v>0</v>
      </c>
      <c r="EF41" s="775"/>
      <c r="EH41" s="775">
        <f t="shared" si="19"/>
        <v>0</v>
      </c>
      <c r="EJ41" s="775">
        <v>14278</v>
      </c>
      <c r="EL41" s="775"/>
      <c r="EN41" s="775">
        <f>EJ41+EL41</f>
        <v>14278</v>
      </c>
      <c r="EP41" s="775">
        <v>105145800</v>
      </c>
      <c r="ER41" s="775"/>
      <c r="ET41" s="775">
        <f>EP41+ER41</f>
        <v>105145800</v>
      </c>
      <c r="EV41" s="775">
        <v>4884036</v>
      </c>
      <c r="EX41" s="775"/>
      <c r="EZ41" s="775">
        <f>EV41+EX41</f>
        <v>4884036</v>
      </c>
      <c r="FB41" s="775"/>
      <c r="FD41" s="775"/>
      <c r="FF41" s="775"/>
      <c r="FH41" s="775"/>
      <c r="FJ41" s="775">
        <f>FF41+FH41</f>
        <v>0</v>
      </c>
      <c r="FL41" s="775"/>
      <c r="FN41" s="775"/>
      <c r="FP41" s="775">
        <f>FL41+FN41</f>
        <v>0</v>
      </c>
      <c r="FR41" s="775">
        <v>7989815</v>
      </c>
      <c r="FT41" s="775"/>
      <c r="FV41" s="775">
        <f>FR41+FT41</f>
        <v>7989815</v>
      </c>
      <c r="FX41" s="775">
        <v>1637299</v>
      </c>
      <c r="FZ41" s="775"/>
      <c r="GB41" s="775">
        <f t="shared" si="26"/>
        <v>1637299</v>
      </c>
      <c r="GD41" s="775"/>
      <c r="GF41" s="775"/>
      <c r="GH41" s="775">
        <v>0</v>
      </c>
      <c r="GK41" s="761">
        <f t="shared" si="0"/>
        <v>281016767</v>
      </c>
      <c r="GL41" s="973">
        <f t="shared" si="27"/>
        <v>281016.76699999999</v>
      </c>
      <c r="GM41" s="761">
        <f t="shared" si="28"/>
        <v>279379468</v>
      </c>
      <c r="GN41" s="973"/>
    </row>
    <row r="42" spans="1:197">
      <c r="B42" s="766" t="s">
        <v>648</v>
      </c>
      <c r="J42" s="771">
        <v>11</v>
      </c>
      <c r="K42" s="777">
        <f>SUM(K34:K41)</f>
        <v>2829408</v>
      </c>
      <c r="M42" s="777">
        <f>SUM(M34:M41)</f>
        <v>0</v>
      </c>
      <c r="O42" s="777">
        <f>SUM(O34:O41)</f>
        <v>2829408</v>
      </c>
      <c r="Q42" s="777">
        <f>SUM(Q34:Q41)</f>
        <v>10845212</v>
      </c>
      <c r="S42" s="777">
        <f>SUM(S34:S41)</f>
        <v>0</v>
      </c>
      <c r="U42" s="777">
        <f>SUM(U34:U41)</f>
        <v>10845212</v>
      </c>
      <c r="W42" s="777">
        <f>SUM(W34:W41)</f>
        <v>28488639</v>
      </c>
      <c r="Y42" s="777">
        <f>SUM(Y34:Y41)</f>
        <v>0</v>
      </c>
      <c r="AA42" s="777">
        <f>SUM(AA34:AA41)</f>
        <v>28488639</v>
      </c>
      <c r="AC42" s="777">
        <f>SUM(AC34:AC41)</f>
        <v>28733569</v>
      </c>
      <c r="AE42" s="777">
        <f>SUM(AE34:AE41)</f>
        <v>0</v>
      </c>
      <c r="AG42" s="777">
        <f>SUM(AG34:AG41)</f>
        <v>28733569</v>
      </c>
      <c r="AI42" s="777">
        <f>SUM(AI34:AI41)</f>
        <v>18517993</v>
      </c>
      <c r="AK42" s="974">
        <f>SUM(AK34:AK41)</f>
        <v>0</v>
      </c>
      <c r="AM42" s="777">
        <f>SUM(AM34:AM41)</f>
        <v>0</v>
      </c>
      <c r="AO42" s="777">
        <f>SUM(AO34:AO41)</f>
        <v>18517993</v>
      </c>
      <c r="AQ42" s="777">
        <f>SUM(AQ34:AQ41)</f>
        <v>0</v>
      </c>
      <c r="AS42" s="777">
        <f>SUM(AS34:AS41)</f>
        <v>0</v>
      </c>
      <c r="AU42" s="777">
        <f>SUM(AU34:AU41)</f>
        <v>0</v>
      </c>
      <c r="AW42" s="777">
        <f>SUM(AW34:AW41)</f>
        <v>12359100</v>
      </c>
      <c r="AY42" s="777">
        <f>SUM(AY34:AY41)</f>
        <v>0</v>
      </c>
      <c r="BA42" s="777">
        <f>SUM(BA34:BA41)</f>
        <v>12359100</v>
      </c>
      <c r="BC42" s="777">
        <f>SUM(BC34:BC41)</f>
        <v>35634756</v>
      </c>
      <c r="BE42" s="777">
        <f>SUM(BE34:BE41)</f>
        <v>0</v>
      </c>
      <c r="BG42" s="777">
        <f>SUM(BG34:BG41)</f>
        <v>35634756</v>
      </c>
      <c r="BI42" s="777">
        <f>SUM(BI34:BI41)</f>
        <v>12558864</v>
      </c>
      <c r="BK42" s="777">
        <f>SUM(BK34:BK41)</f>
        <v>0</v>
      </c>
      <c r="BM42" s="777">
        <f>SUM(BM34:BM41)</f>
        <v>12558864</v>
      </c>
      <c r="BO42" s="777">
        <f>SUM(BO34:BO41)</f>
        <v>3287195</v>
      </c>
      <c r="BQ42" s="974">
        <f>SUM(BQ34:BQ41)</f>
        <v>0</v>
      </c>
      <c r="BS42" s="777">
        <f>SUM(BS34:BS41)</f>
        <v>0</v>
      </c>
      <c r="BU42" s="777">
        <f>SUM(BU34:BU41)</f>
        <v>3287195</v>
      </c>
      <c r="BW42" s="777">
        <f>SUM(BW34:BW41)</f>
        <v>5395270</v>
      </c>
      <c r="BZ42" s="974">
        <f>SUM(BZ34:BZ41)</f>
        <v>0</v>
      </c>
      <c r="CB42" s="777">
        <f>SUM(CB34:CB41)</f>
        <v>0</v>
      </c>
      <c r="CD42" s="974">
        <f>SUM(CD34:CD41)</f>
        <v>0</v>
      </c>
      <c r="CF42" s="777">
        <f>SUM(CF34:CF41)</f>
        <v>0</v>
      </c>
      <c r="CH42" s="777">
        <f>SUM(CH34:CH41)</f>
        <v>5395270</v>
      </c>
      <c r="CJ42" s="777">
        <f>SUM(CJ34:CJ41)</f>
        <v>483351</v>
      </c>
      <c r="CL42" s="777">
        <f>SUM(CL34:CL41)</f>
        <v>0</v>
      </c>
      <c r="CN42" s="777">
        <f>SUM(CN34:CN41)</f>
        <v>483351</v>
      </c>
      <c r="CP42" s="777">
        <f>SUM(CP34:CP41)</f>
        <v>631086</v>
      </c>
      <c r="CR42" s="777">
        <f>SUM(CR34:CR41)</f>
        <v>0</v>
      </c>
      <c r="CT42" s="777">
        <f>SUM(CT34:CT41)</f>
        <v>631086</v>
      </c>
      <c r="CV42" s="777">
        <f>SUM(CV34:CV41)</f>
        <v>395141</v>
      </c>
      <c r="CX42" s="777">
        <f>SUM(CX34:CX41)</f>
        <v>0</v>
      </c>
      <c r="CZ42" s="777">
        <f>SUM(CZ34:CZ41)</f>
        <v>395141</v>
      </c>
      <c r="DB42" s="777">
        <f>SUM(DB34:DB41)</f>
        <v>211369000</v>
      </c>
      <c r="DD42" s="777">
        <f>SUM(DD34:DD41)</f>
        <v>0</v>
      </c>
      <c r="DF42" s="777">
        <f>SUM(DF34:DF41)</f>
        <v>211369000</v>
      </c>
      <c r="DH42" s="777">
        <f>SUM(DH34:DH41)</f>
        <v>123456</v>
      </c>
      <c r="DJ42" s="777">
        <f>SUM(DJ34:DJ41)</f>
        <v>0</v>
      </c>
      <c r="DL42" s="777">
        <f>SUM(DL34:DL41)</f>
        <v>123456</v>
      </c>
      <c r="DN42" s="777">
        <f>SUM(DN34:DN41)</f>
        <v>2250077</v>
      </c>
      <c r="DP42" s="777">
        <f>SUM(DP34:DP41)</f>
        <v>0</v>
      </c>
      <c r="DR42" s="777">
        <f>SUM(DR34:DR41)</f>
        <v>2250077</v>
      </c>
      <c r="DT42" s="777">
        <f>SUM(DT34:DT41)</f>
        <v>8666356</v>
      </c>
      <c r="DV42" s="975">
        <f>SUM(DV34:DV41)</f>
        <v>0</v>
      </c>
      <c r="DX42" s="777">
        <f>SUM(DX34:DX41)</f>
        <v>0</v>
      </c>
      <c r="DZ42" s="777">
        <f>SUM(DZ34:DZ41)</f>
        <v>8666356</v>
      </c>
      <c r="EB42" s="777">
        <f>SUM(EB34:EB41)</f>
        <v>54437273</v>
      </c>
      <c r="ED42" s="976">
        <f>SUM(ED34:ED41)</f>
        <v>0</v>
      </c>
      <c r="EF42" s="777">
        <f>SUM(EF34:EF41)</f>
        <v>0</v>
      </c>
      <c r="EH42" s="777">
        <f>SUM(EH34:EH41)</f>
        <v>54437273</v>
      </c>
      <c r="EJ42" s="777">
        <f>SUM(EJ34:EJ41)</f>
        <v>6653400</v>
      </c>
      <c r="EL42" s="777">
        <f>SUM(EL34:EL41)</f>
        <v>0</v>
      </c>
      <c r="EN42" s="777">
        <f>SUM(EN34:EN41)</f>
        <v>6653400</v>
      </c>
      <c r="EP42" s="777">
        <f>SUM(EP34:EP41)</f>
        <v>130728928</v>
      </c>
      <c r="ER42" s="777">
        <f>SUM(ER34:ER41)</f>
        <v>0</v>
      </c>
      <c r="ET42" s="777">
        <f>SUM(ET34:ET41)</f>
        <v>130728928</v>
      </c>
      <c r="EV42" s="777">
        <f>SUM(EV34:EV41)</f>
        <v>145210485</v>
      </c>
      <c r="EX42" s="777">
        <f>SUM(EX34:EX41)</f>
        <v>1648397</v>
      </c>
      <c r="EZ42" s="777">
        <f>SUM(EZ34:EZ41)</f>
        <v>146858882</v>
      </c>
      <c r="FB42" s="777">
        <f>SUM(FB34:FB41)</f>
        <v>0</v>
      </c>
      <c r="FD42" s="777">
        <f>SUM(FD34:FD41)</f>
        <v>0</v>
      </c>
      <c r="FF42" s="777">
        <f>SUM(FF34:FF41)</f>
        <v>34825719</v>
      </c>
      <c r="FH42" s="777">
        <f>SUM(FH34:FH41)</f>
        <v>0</v>
      </c>
      <c r="FJ42" s="777">
        <f>SUM(FJ34:FJ41)</f>
        <v>34825719</v>
      </c>
      <c r="FL42" s="777">
        <f>SUM(FL34:FL41)</f>
        <v>82802549</v>
      </c>
      <c r="FN42" s="777">
        <f>SUM(FN34:FN41)</f>
        <v>-41196264</v>
      </c>
      <c r="FP42" s="777">
        <f>SUM(FP34:FP41)</f>
        <v>41606285</v>
      </c>
      <c r="FR42" s="777">
        <f>SUM(FR34:FR41)</f>
        <v>510967299</v>
      </c>
      <c r="FT42" s="777">
        <f>SUM(FT34:FT41)</f>
        <v>0</v>
      </c>
      <c r="FV42" s="777">
        <f>SUM(FV34:FV41)</f>
        <v>510967299</v>
      </c>
      <c r="FX42" s="777">
        <f>SUM(FX34:FX41)</f>
        <v>9687516</v>
      </c>
      <c r="FZ42" s="777">
        <f>SUM(FZ34:FZ41)</f>
        <v>0</v>
      </c>
      <c r="GB42" s="777">
        <f>SUM(GB34:GB41)</f>
        <v>9687516</v>
      </c>
      <c r="GD42" s="777">
        <v>428779</v>
      </c>
      <c r="GF42" s="777">
        <v>0</v>
      </c>
      <c r="GH42" s="777">
        <v>428779</v>
      </c>
      <c r="GK42" s="761">
        <f t="shared" si="0"/>
        <v>1318333775</v>
      </c>
      <c r="GL42" s="973">
        <f t="shared" si="27"/>
        <v>1318333.7749999999</v>
      </c>
      <c r="GM42" s="761">
        <f t="shared" si="28"/>
        <v>1305877585</v>
      </c>
      <c r="GN42" s="973"/>
    </row>
    <row r="43" spans="1:197">
      <c r="J43" s="758">
        <v>12</v>
      </c>
      <c r="K43" s="761" t="s">
        <v>354</v>
      </c>
      <c r="BQ43" s="952"/>
      <c r="BW43" s="761"/>
      <c r="BZ43" s="952"/>
      <c r="CB43" s="761"/>
      <c r="CD43" s="952"/>
      <c r="CP43" s="761"/>
      <c r="CV43" s="761"/>
      <c r="DB43" s="761"/>
      <c r="DH43" s="761"/>
      <c r="DN43" s="761"/>
      <c r="DT43" s="761"/>
      <c r="DV43" s="977"/>
      <c r="EB43" s="761"/>
      <c r="ED43" s="978"/>
      <c r="EJ43" s="761"/>
      <c r="EP43" s="761"/>
      <c r="EV43" s="761"/>
      <c r="FB43" s="761"/>
      <c r="FD43" s="761"/>
      <c r="GD43" s="761" t="s">
        <v>354</v>
      </c>
      <c r="GL43" s="973">
        <f t="shared" si="27"/>
        <v>0</v>
      </c>
      <c r="GN43" s="973"/>
    </row>
    <row r="44" spans="1:197" hidden="1">
      <c r="A44" s="766"/>
      <c r="J44" s="771">
        <v>13</v>
      </c>
      <c r="BQ44" s="952"/>
      <c r="BW44" s="761"/>
      <c r="BZ44" s="952"/>
      <c r="CB44" s="761"/>
      <c r="CD44" s="952"/>
      <c r="CP44" s="761"/>
      <c r="CV44" s="761"/>
      <c r="DB44" s="761"/>
      <c r="DH44" s="761"/>
      <c r="DN44" s="761"/>
      <c r="DT44" s="761"/>
      <c r="DV44" s="977"/>
      <c r="EB44" s="761"/>
      <c r="ED44" s="978"/>
      <c r="EJ44" s="761"/>
      <c r="EP44" s="761"/>
      <c r="EV44" s="761"/>
      <c r="FB44" s="761"/>
      <c r="FD44" s="761"/>
      <c r="GL44" s="973">
        <f t="shared" si="27"/>
        <v>0</v>
      </c>
      <c r="GN44" s="973"/>
    </row>
    <row r="45" spans="1:197" hidden="1">
      <c r="A45" s="758" t="s">
        <v>686</v>
      </c>
      <c r="J45" s="758">
        <v>14</v>
      </c>
      <c r="K45" s="775"/>
      <c r="M45" s="775"/>
      <c r="O45" s="775">
        <f t="shared" ref="O45:O49" si="29">K45+M45</f>
        <v>0</v>
      </c>
      <c r="Q45" s="775"/>
      <c r="S45" s="775"/>
      <c r="U45" s="775">
        <f t="shared" ref="U45:U49" si="30">Q45+S45</f>
        <v>0</v>
      </c>
      <c r="W45" s="775"/>
      <c r="Y45" s="775"/>
      <c r="AA45" s="775">
        <f t="shared" ref="AA45:AA49" si="31">W45+Y45</f>
        <v>0</v>
      </c>
      <c r="AC45" s="775"/>
      <c r="AE45" s="775"/>
      <c r="AG45" s="775">
        <f t="shared" ref="AG45:AG49" si="32">AC45+AE45</f>
        <v>0</v>
      </c>
      <c r="AI45" s="775"/>
      <c r="AK45" s="970">
        <v>0</v>
      </c>
      <c r="AM45" s="775"/>
      <c r="AO45" s="775">
        <f t="shared" ref="AO45:AO49" si="33">AI45+AM45</f>
        <v>0</v>
      </c>
      <c r="AQ45" s="775"/>
      <c r="AS45" s="775"/>
      <c r="AU45" s="775">
        <f t="shared" ref="AU45:AU49" si="34">AQ45+AS45</f>
        <v>0</v>
      </c>
      <c r="AW45" s="775"/>
      <c r="AY45" s="775"/>
      <c r="BA45" s="775">
        <f t="shared" ref="BA45:BA49" si="35">AW45+AY45</f>
        <v>0</v>
      </c>
      <c r="BC45" s="775"/>
      <c r="BE45" s="775"/>
      <c r="BG45" s="775">
        <f t="shared" ref="BG45:BG49" si="36">BC45+BE45</f>
        <v>0</v>
      </c>
      <c r="BI45" s="775"/>
      <c r="BK45" s="775"/>
      <c r="BM45" s="775">
        <f t="shared" ref="BM45:BM49" si="37">BI45+BK45</f>
        <v>0</v>
      </c>
      <c r="BO45" s="775"/>
      <c r="BQ45" s="970"/>
      <c r="BS45" s="775"/>
      <c r="BU45" s="775">
        <f t="shared" ref="BU45:BU49" si="38">BO45+BS45</f>
        <v>0</v>
      </c>
      <c r="BW45" s="775"/>
      <c r="BZ45" s="970"/>
      <c r="CB45" s="775"/>
      <c r="CD45" s="970"/>
      <c r="CF45" s="775"/>
      <c r="CH45" s="775">
        <f>BW45+CF45</f>
        <v>0</v>
      </c>
      <c r="CJ45" s="775"/>
      <c r="CL45" s="775"/>
      <c r="CN45" s="775">
        <f t="shared" ref="CN45:CN49" si="39">CJ45+CL45</f>
        <v>0</v>
      </c>
      <c r="CP45" s="775"/>
      <c r="CR45" s="775"/>
      <c r="CT45" s="775">
        <f t="shared" ref="CT45:CT49" si="40">CP45+CR45</f>
        <v>0</v>
      </c>
      <c r="CV45" s="775"/>
      <c r="CX45" s="775"/>
      <c r="CZ45" s="775">
        <f t="shared" ref="CZ45:CZ49" si="41">CV45+CX45</f>
        <v>0</v>
      </c>
      <c r="DB45" s="775"/>
      <c r="DD45" s="775"/>
      <c r="DF45" s="775">
        <f t="shared" ref="DF45:DF49" si="42">DB45+DD45</f>
        <v>0</v>
      </c>
      <c r="DH45" s="775"/>
      <c r="DJ45" s="775"/>
      <c r="DL45" s="775">
        <f t="shared" ref="DL45:DL49" si="43">DH45+DJ45</f>
        <v>0</v>
      </c>
      <c r="DN45" s="775"/>
      <c r="DP45" s="775"/>
      <c r="DR45" s="775">
        <f t="shared" ref="DR45:DR49" si="44">DN45+DP45</f>
        <v>0</v>
      </c>
      <c r="DT45" s="775"/>
      <c r="DV45" s="971">
        <v>0</v>
      </c>
      <c r="DX45" s="775"/>
      <c r="DZ45" s="775">
        <f t="shared" ref="DZ45:DZ49" si="45">DT45+DX45</f>
        <v>0</v>
      </c>
      <c r="EB45" s="775"/>
      <c r="ED45" s="972">
        <v>0</v>
      </c>
      <c r="EF45" s="775"/>
      <c r="EH45" s="775">
        <f t="shared" ref="EH45:EH49" si="46">EB45+EF45</f>
        <v>0</v>
      </c>
      <c r="EJ45" s="775"/>
      <c r="EL45" s="775"/>
      <c r="EN45" s="775">
        <f>EJ45+EL45</f>
        <v>0</v>
      </c>
      <c r="EP45" s="775"/>
      <c r="ER45" s="775"/>
      <c r="ET45" s="775">
        <f>EP45+ER45</f>
        <v>0</v>
      </c>
      <c r="EV45" s="775"/>
      <c r="EX45" s="775"/>
      <c r="EZ45" s="775">
        <f>EV45+EX45</f>
        <v>0</v>
      </c>
      <c r="FB45" s="775"/>
      <c r="FD45" s="775"/>
      <c r="FF45" s="775"/>
      <c r="FH45" s="775"/>
      <c r="FJ45" s="775">
        <f>FF45+FH45</f>
        <v>0</v>
      </c>
      <c r="FL45" s="775"/>
      <c r="FN45" s="775"/>
      <c r="FP45" s="775">
        <f>FL45+FN45</f>
        <v>0</v>
      </c>
      <c r="FR45" s="775"/>
      <c r="FT45" s="775"/>
      <c r="FV45" s="775">
        <f>FR45+FT45</f>
        <v>0</v>
      </c>
      <c r="FX45" s="775"/>
      <c r="FZ45" s="775"/>
      <c r="GB45" s="775">
        <f t="shared" ref="GB45:GB49" si="47">FX45+FZ45</f>
        <v>0</v>
      </c>
      <c r="GD45" s="775"/>
      <c r="GF45" s="775"/>
      <c r="GH45" s="775">
        <v>0</v>
      </c>
      <c r="GL45" s="973">
        <f t="shared" si="27"/>
        <v>0</v>
      </c>
      <c r="GM45" s="761">
        <f t="shared" ref="GM45:GM50" si="48">O45+U45+AA45+AG45+AO45+BA45+BG45+BM45+BU45+CH45+CN45+CT45+DF45+DZ45+EH45+EN45+ET45+EZ45+FJ45+FP45+FV45</f>
        <v>0</v>
      </c>
      <c r="GN45" s="973"/>
    </row>
    <row r="46" spans="1:197">
      <c r="A46" s="758" t="s">
        <v>649</v>
      </c>
      <c r="J46" s="771">
        <v>15</v>
      </c>
      <c r="K46" s="775"/>
      <c r="M46" s="775"/>
      <c r="O46" s="775">
        <f t="shared" si="29"/>
        <v>0</v>
      </c>
      <c r="Q46" s="775"/>
      <c r="S46" s="775"/>
      <c r="U46" s="775">
        <f t="shared" si="30"/>
        <v>0</v>
      </c>
      <c r="W46" s="775"/>
      <c r="Y46" s="775"/>
      <c r="AA46" s="775">
        <f t="shared" si="31"/>
        <v>0</v>
      </c>
      <c r="AC46" s="775"/>
      <c r="AE46" s="775"/>
      <c r="AG46" s="775">
        <f t="shared" si="32"/>
        <v>0</v>
      </c>
      <c r="AI46" s="775"/>
      <c r="AK46" s="970">
        <v>0</v>
      </c>
      <c r="AM46" s="775"/>
      <c r="AO46" s="775">
        <f t="shared" si="33"/>
        <v>0</v>
      </c>
      <c r="AQ46" s="775"/>
      <c r="AS46" s="775"/>
      <c r="AU46" s="775">
        <f t="shared" si="34"/>
        <v>0</v>
      </c>
      <c r="AW46" s="775"/>
      <c r="AY46" s="775"/>
      <c r="BA46" s="775">
        <f t="shared" si="35"/>
        <v>0</v>
      </c>
      <c r="BC46" s="775"/>
      <c r="BE46" s="775"/>
      <c r="BG46" s="775">
        <f t="shared" si="36"/>
        <v>0</v>
      </c>
      <c r="BI46" s="775"/>
      <c r="BK46" s="775"/>
      <c r="BM46" s="775">
        <f t="shared" si="37"/>
        <v>0</v>
      </c>
      <c r="BO46" s="775"/>
      <c r="BQ46" s="970"/>
      <c r="BS46" s="775"/>
      <c r="BU46" s="775">
        <f t="shared" si="38"/>
        <v>0</v>
      </c>
      <c r="BW46" s="775"/>
      <c r="BZ46" s="970"/>
      <c r="CB46" s="775"/>
      <c r="CD46" s="970"/>
      <c r="CF46" s="775"/>
      <c r="CH46" s="775">
        <f t="shared" ref="CH46:CH49" si="49">BW46+CF46</f>
        <v>0</v>
      </c>
      <c r="CJ46" s="775"/>
      <c r="CL46" s="775"/>
      <c r="CN46" s="775">
        <f t="shared" si="39"/>
        <v>0</v>
      </c>
      <c r="CP46" s="775"/>
      <c r="CR46" s="775"/>
      <c r="CT46" s="775">
        <f t="shared" si="40"/>
        <v>0</v>
      </c>
      <c r="CV46" s="775"/>
      <c r="CX46" s="775"/>
      <c r="CZ46" s="775">
        <f t="shared" si="41"/>
        <v>0</v>
      </c>
      <c r="DB46" s="775"/>
      <c r="DD46" s="775"/>
      <c r="DF46" s="775">
        <f t="shared" si="42"/>
        <v>0</v>
      </c>
      <c r="DH46" s="775"/>
      <c r="DJ46" s="775"/>
      <c r="DL46" s="775">
        <f t="shared" si="43"/>
        <v>0</v>
      </c>
      <c r="DN46" s="775"/>
      <c r="DP46" s="775"/>
      <c r="DR46" s="775">
        <f t="shared" si="44"/>
        <v>0</v>
      </c>
      <c r="DT46" s="775"/>
      <c r="DV46" s="971">
        <v>0</v>
      </c>
      <c r="DX46" s="775"/>
      <c r="DZ46" s="775">
        <f t="shared" si="45"/>
        <v>0</v>
      </c>
      <c r="EB46" s="775"/>
      <c r="ED46" s="972">
        <v>0</v>
      </c>
      <c r="EF46" s="775"/>
      <c r="EH46" s="775">
        <f t="shared" si="46"/>
        <v>0</v>
      </c>
      <c r="EJ46" s="775"/>
      <c r="EL46" s="775"/>
      <c r="EN46" s="775">
        <f t="shared" ref="EN46:EN49" si="50">EJ46+EL46</f>
        <v>0</v>
      </c>
      <c r="EP46" s="775"/>
      <c r="ER46" s="775"/>
      <c r="ET46" s="775">
        <f t="shared" ref="ET46:ET49" si="51">EP46+ER46</f>
        <v>0</v>
      </c>
      <c r="EV46" s="775"/>
      <c r="EX46" s="775"/>
      <c r="EZ46" s="775">
        <f t="shared" ref="EZ46:EZ49" si="52">EV46+EX46</f>
        <v>0</v>
      </c>
      <c r="FB46" s="775"/>
      <c r="FD46" s="775"/>
      <c r="FF46" s="775"/>
      <c r="FH46" s="775"/>
      <c r="FJ46" s="775">
        <f t="shared" ref="FJ46:FJ49" si="53">FF46+FH46</f>
        <v>0</v>
      </c>
      <c r="FL46" s="775"/>
      <c r="FN46" s="775"/>
      <c r="FP46" s="775">
        <f t="shared" ref="FP46:FP49" si="54">FL46+FN46</f>
        <v>0</v>
      </c>
      <c r="FR46" s="775"/>
      <c r="FT46" s="775"/>
      <c r="FV46" s="775">
        <f t="shared" ref="FV46:FV49" si="55">FR46+FT46</f>
        <v>0</v>
      </c>
      <c r="FX46" s="775"/>
      <c r="FZ46" s="775"/>
      <c r="GB46" s="775">
        <f t="shared" si="47"/>
        <v>0</v>
      </c>
      <c r="GD46" s="775"/>
      <c r="GF46" s="775"/>
      <c r="GH46" s="775">
        <v>0</v>
      </c>
      <c r="GK46" s="761">
        <f t="shared" ref="GK46:GK50" si="56">O46+U46+AA46+AG46+AO46+AU46+BA46+BG46+BM46+BU46+CH46+CN46+CT46+CZ46+DF46+DL46+DR46+DZ46+EH46+EN46+ET46+EZ46+FJ46+FP46+FV46+GB46</f>
        <v>0</v>
      </c>
      <c r="GL46" s="973">
        <f t="shared" si="27"/>
        <v>0</v>
      </c>
      <c r="GM46" s="761">
        <f t="shared" si="48"/>
        <v>0</v>
      </c>
      <c r="GN46" s="973"/>
    </row>
    <row r="47" spans="1:197">
      <c r="A47" s="758" t="s">
        <v>687</v>
      </c>
      <c r="J47" s="758">
        <v>16</v>
      </c>
      <c r="K47" s="775"/>
      <c r="M47" s="775"/>
      <c r="O47" s="775">
        <f t="shared" si="29"/>
        <v>0</v>
      </c>
      <c r="Q47" s="775"/>
      <c r="S47" s="775"/>
      <c r="U47" s="775">
        <f t="shared" si="30"/>
        <v>0</v>
      </c>
      <c r="W47" s="775"/>
      <c r="Y47" s="775"/>
      <c r="AA47" s="775">
        <f t="shared" si="31"/>
        <v>0</v>
      </c>
      <c r="AC47" s="775"/>
      <c r="AE47" s="775"/>
      <c r="AG47" s="775">
        <f t="shared" si="32"/>
        <v>0</v>
      </c>
      <c r="AI47" s="775"/>
      <c r="AK47" s="970">
        <v>0</v>
      </c>
      <c r="AM47" s="775"/>
      <c r="AO47" s="775">
        <f t="shared" si="33"/>
        <v>0</v>
      </c>
      <c r="AQ47" s="775"/>
      <c r="AS47" s="775"/>
      <c r="AU47" s="775">
        <f t="shared" si="34"/>
        <v>0</v>
      </c>
      <c r="AW47" s="775"/>
      <c r="AY47" s="775"/>
      <c r="BA47" s="775">
        <f t="shared" si="35"/>
        <v>0</v>
      </c>
      <c r="BC47" s="775"/>
      <c r="BE47" s="775"/>
      <c r="BG47" s="775">
        <f t="shared" si="36"/>
        <v>0</v>
      </c>
      <c r="BI47" s="775"/>
      <c r="BK47" s="775"/>
      <c r="BM47" s="775">
        <f t="shared" si="37"/>
        <v>0</v>
      </c>
      <c r="BO47" s="775"/>
      <c r="BQ47" s="970"/>
      <c r="BS47" s="775"/>
      <c r="BU47" s="775">
        <f t="shared" si="38"/>
        <v>0</v>
      </c>
      <c r="BW47" s="775"/>
      <c r="BZ47" s="970"/>
      <c r="CB47" s="775"/>
      <c r="CD47" s="970"/>
      <c r="CF47" s="775"/>
      <c r="CH47" s="775">
        <f t="shared" si="49"/>
        <v>0</v>
      </c>
      <c r="CJ47" s="775"/>
      <c r="CL47" s="775"/>
      <c r="CN47" s="775">
        <f t="shared" si="39"/>
        <v>0</v>
      </c>
      <c r="CP47" s="775"/>
      <c r="CR47" s="775"/>
      <c r="CT47" s="775">
        <f t="shared" si="40"/>
        <v>0</v>
      </c>
      <c r="CV47" s="775"/>
      <c r="CX47" s="775"/>
      <c r="CZ47" s="775">
        <f t="shared" si="41"/>
        <v>0</v>
      </c>
      <c r="DB47" s="775"/>
      <c r="DD47" s="775"/>
      <c r="DF47" s="775">
        <f t="shared" si="42"/>
        <v>0</v>
      </c>
      <c r="DH47" s="775"/>
      <c r="DJ47" s="775"/>
      <c r="DL47" s="775">
        <f t="shared" si="43"/>
        <v>0</v>
      </c>
      <c r="DN47" s="775"/>
      <c r="DP47" s="775"/>
      <c r="DR47" s="775">
        <f t="shared" si="44"/>
        <v>0</v>
      </c>
      <c r="DT47" s="775"/>
      <c r="DV47" s="971">
        <v>0</v>
      </c>
      <c r="DX47" s="775"/>
      <c r="DZ47" s="775">
        <f t="shared" si="45"/>
        <v>0</v>
      </c>
      <c r="EB47" s="775"/>
      <c r="ED47" s="972">
        <v>0</v>
      </c>
      <c r="EF47" s="775"/>
      <c r="EH47" s="775">
        <f t="shared" si="46"/>
        <v>0</v>
      </c>
      <c r="EJ47" s="775"/>
      <c r="EL47" s="775"/>
      <c r="EN47" s="775">
        <f t="shared" si="50"/>
        <v>0</v>
      </c>
      <c r="EP47" s="775"/>
      <c r="ER47" s="775"/>
      <c r="ET47" s="775">
        <f t="shared" si="51"/>
        <v>0</v>
      </c>
      <c r="EV47" s="775"/>
      <c r="EX47" s="775"/>
      <c r="EZ47" s="775">
        <f t="shared" si="52"/>
        <v>0</v>
      </c>
      <c r="FB47" s="775"/>
      <c r="FD47" s="775"/>
      <c r="FF47" s="775"/>
      <c r="FH47" s="775"/>
      <c r="FJ47" s="775">
        <f t="shared" si="53"/>
        <v>0</v>
      </c>
      <c r="FL47" s="775"/>
      <c r="FN47" s="775"/>
      <c r="FP47" s="775">
        <f t="shared" si="54"/>
        <v>0</v>
      </c>
      <c r="FR47" s="775"/>
      <c r="FT47" s="775"/>
      <c r="FV47" s="775">
        <f t="shared" si="55"/>
        <v>0</v>
      </c>
      <c r="FX47" s="775"/>
      <c r="FZ47" s="775"/>
      <c r="GB47" s="775">
        <f t="shared" si="47"/>
        <v>0</v>
      </c>
      <c r="GD47" s="775"/>
      <c r="GF47" s="775"/>
      <c r="GH47" s="775">
        <v>0</v>
      </c>
      <c r="GK47" s="761">
        <f t="shared" si="56"/>
        <v>0</v>
      </c>
      <c r="GL47" s="973">
        <f t="shared" si="27"/>
        <v>0</v>
      </c>
      <c r="GM47" s="761">
        <f t="shared" si="48"/>
        <v>0</v>
      </c>
      <c r="GN47" s="973"/>
    </row>
    <row r="48" spans="1:197">
      <c r="A48" s="758" t="s">
        <v>1664</v>
      </c>
      <c r="J48" s="771">
        <v>17</v>
      </c>
      <c r="K48" s="775"/>
      <c r="M48" s="775"/>
      <c r="O48" s="775">
        <f t="shared" si="29"/>
        <v>0</v>
      </c>
      <c r="Q48" s="775">
        <v>13902281</v>
      </c>
      <c r="S48" s="775"/>
      <c r="U48" s="775">
        <f t="shared" si="30"/>
        <v>13902281</v>
      </c>
      <c r="W48" s="775"/>
      <c r="Y48" s="775"/>
      <c r="AA48" s="775">
        <f t="shared" si="31"/>
        <v>0</v>
      </c>
      <c r="AC48" s="775"/>
      <c r="AE48" s="775"/>
      <c r="AG48" s="775">
        <f t="shared" si="32"/>
        <v>0</v>
      </c>
      <c r="AI48" s="775"/>
      <c r="AK48" s="970">
        <v>0</v>
      </c>
      <c r="AM48" s="775"/>
      <c r="AO48" s="775">
        <f t="shared" si="33"/>
        <v>0</v>
      </c>
      <c r="AQ48" s="775"/>
      <c r="AS48" s="775"/>
      <c r="AU48" s="775">
        <f t="shared" si="34"/>
        <v>0</v>
      </c>
      <c r="AW48" s="775"/>
      <c r="AY48" s="775"/>
      <c r="BA48" s="775">
        <f t="shared" si="35"/>
        <v>0</v>
      </c>
      <c r="BC48" s="775"/>
      <c r="BE48" s="775"/>
      <c r="BG48" s="775">
        <f t="shared" si="36"/>
        <v>0</v>
      </c>
      <c r="BI48" s="775">
        <v>154166994</v>
      </c>
      <c r="BK48" s="775"/>
      <c r="BM48" s="775">
        <f t="shared" si="37"/>
        <v>154166994</v>
      </c>
      <c r="BO48" s="775"/>
      <c r="BQ48" s="970"/>
      <c r="BS48" s="775"/>
      <c r="BU48" s="775">
        <f t="shared" si="38"/>
        <v>0</v>
      </c>
      <c r="BW48" s="775"/>
      <c r="BZ48" s="970"/>
      <c r="CB48" s="775"/>
      <c r="CD48" s="970"/>
      <c r="CF48" s="775"/>
      <c r="CH48" s="775">
        <f t="shared" si="49"/>
        <v>0</v>
      </c>
      <c r="CJ48" s="775"/>
      <c r="CL48" s="775"/>
      <c r="CN48" s="775">
        <f t="shared" si="39"/>
        <v>0</v>
      </c>
      <c r="CP48" s="775"/>
      <c r="CR48" s="775"/>
      <c r="CT48" s="775">
        <f t="shared" si="40"/>
        <v>0</v>
      </c>
      <c r="CV48" s="775"/>
      <c r="CX48" s="775"/>
      <c r="CZ48" s="775">
        <f t="shared" si="41"/>
        <v>0</v>
      </c>
      <c r="DB48" s="775"/>
      <c r="DD48" s="775"/>
      <c r="DF48" s="775">
        <f t="shared" si="42"/>
        <v>0</v>
      </c>
      <c r="DH48" s="775"/>
      <c r="DJ48" s="775"/>
      <c r="DL48" s="775">
        <f t="shared" si="43"/>
        <v>0</v>
      </c>
      <c r="DN48" s="775"/>
      <c r="DP48" s="775"/>
      <c r="DR48" s="775">
        <f t="shared" si="44"/>
        <v>0</v>
      </c>
      <c r="DT48" s="775"/>
      <c r="DV48" s="971">
        <v>0</v>
      </c>
      <c r="DX48" s="775"/>
      <c r="DZ48" s="775">
        <f t="shared" si="45"/>
        <v>0</v>
      </c>
      <c r="EB48" s="775"/>
      <c r="ED48" s="972">
        <v>0</v>
      </c>
      <c r="EF48" s="775"/>
      <c r="EH48" s="775">
        <f t="shared" si="46"/>
        <v>0</v>
      </c>
      <c r="EJ48" s="775"/>
      <c r="EL48" s="775"/>
      <c r="EN48" s="775">
        <f t="shared" si="50"/>
        <v>0</v>
      </c>
      <c r="EP48" s="775"/>
      <c r="ER48" s="775"/>
      <c r="ET48" s="775">
        <f t="shared" si="51"/>
        <v>0</v>
      </c>
      <c r="EV48" s="775"/>
      <c r="EX48" s="775"/>
      <c r="EZ48" s="775">
        <f t="shared" si="52"/>
        <v>0</v>
      </c>
      <c r="FB48" s="775"/>
      <c r="FD48" s="775"/>
      <c r="FF48" s="775"/>
      <c r="FH48" s="775"/>
      <c r="FJ48" s="775">
        <f t="shared" si="53"/>
        <v>0</v>
      </c>
      <c r="FL48" s="775"/>
      <c r="FN48" s="775">
        <v>41196264</v>
      </c>
      <c r="FP48" s="775">
        <f t="shared" si="54"/>
        <v>41196264</v>
      </c>
      <c r="FR48" s="775">
        <v>30672817</v>
      </c>
      <c r="FT48" s="775"/>
      <c r="FV48" s="775">
        <f t="shared" si="55"/>
        <v>30672817</v>
      </c>
      <c r="FX48" s="775"/>
      <c r="FZ48" s="775"/>
      <c r="GB48" s="775">
        <f t="shared" si="47"/>
        <v>0</v>
      </c>
      <c r="GD48" s="775"/>
      <c r="GF48" s="775"/>
      <c r="GH48" s="775">
        <v>0</v>
      </c>
      <c r="GK48" s="761">
        <f t="shared" si="56"/>
        <v>239938356</v>
      </c>
      <c r="GL48" s="973">
        <f t="shared" si="27"/>
        <v>239938.356</v>
      </c>
      <c r="GM48" s="761">
        <f t="shared" si="48"/>
        <v>239938356</v>
      </c>
      <c r="GN48" s="973"/>
    </row>
    <row r="49" spans="1:196">
      <c r="A49" s="758" t="s">
        <v>688</v>
      </c>
      <c r="J49" s="758">
        <v>18</v>
      </c>
      <c r="K49" s="775">
        <v>3210383</v>
      </c>
      <c r="M49" s="775"/>
      <c r="O49" s="775">
        <f t="shared" si="29"/>
        <v>3210383</v>
      </c>
      <c r="Q49" s="775">
        <v>21611</v>
      </c>
      <c r="S49" s="775"/>
      <c r="U49" s="775">
        <f t="shared" si="30"/>
        <v>21611</v>
      </c>
      <c r="W49" s="775"/>
      <c r="Y49" s="775"/>
      <c r="AA49" s="775">
        <f t="shared" si="31"/>
        <v>0</v>
      </c>
      <c r="AC49" s="775"/>
      <c r="AE49" s="775"/>
      <c r="AG49" s="775">
        <f t="shared" si="32"/>
        <v>0</v>
      </c>
      <c r="AI49" s="775"/>
      <c r="AK49" s="970">
        <v>0</v>
      </c>
      <c r="AM49" s="775"/>
      <c r="AO49" s="775">
        <f t="shared" si="33"/>
        <v>0</v>
      </c>
      <c r="AQ49" s="775"/>
      <c r="AS49" s="775"/>
      <c r="AU49" s="775">
        <f t="shared" si="34"/>
        <v>0</v>
      </c>
      <c r="AW49" s="775"/>
      <c r="AY49" s="775"/>
      <c r="BA49" s="775">
        <f t="shared" si="35"/>
        <v>0</v>
      </c>
      <c r="BC49" s="775"/>
      <c r="BE49" s="775"/>
      <c r="BG49" s="775">
        <f t="shared" si="36"/>
        <v>0</v>
      </c>
      <c r="BI49" s="775"/>
      <c r="BK49" s="775"/>
      <c r="BM49" s="775">
        <f t="shared" si="37"/>
        <v>0</v>
      </c>
      <c r="BO49" s="775"/>
      <c r="BQ49" s="970"/>
      <c r="BS49" s="775"/>
      <c r="BU49" s="775">
        <f t="shared" si="38"/>
        <v>0</v>
      </c>
      <c r="BW49" s="775"/>
      <c r="BZ49" s="970"/>
      <c r="CB49" s="775"/>
      <c r="CD49" s="970"/>
      <c r="CF49" s="775"/>
      <c r="CH49" s="775">
        <f t="shared" si="49"/>
        <v>0</v>
      </c>
      <c r="CJ49" s="775"/>
      <c r="CL49" s="775"/>
      <c r="CN49" s="775">
        <f t="shared" si="39"/>
        <v>0</v>
      </c>
      <c r="CP49" s="775"/>
      <c r="CR49" s="775"/>
      <c r="CT49" s="775">
        <f t="shared" si="40"/>
        <v>0</v>
      </c>
      <c r="CV49" s="775">
        <v>680489</v>
      </c>
      <c r="CX49" s="775"/>
      <c r="CZ49" s="775">
        <f t="shared" si="41"/>
        <v>680489</v>
      </c>
      <c r="DB49" s="775"/>
      <c r="DD49" s="775"/>
      <c r="DF49" s="775">
        <f t="shared" si="42"/>
        <v>0</v>
      </c>
      <c r="DH49" s="776">
        <v>1517922</v>
      </c>
      <c r="DJ49" s="775"/>
      <c r="DL49" s="775">
        <f t="shared" si="43"/>
        <v>1517922</v>
      </c>
      <c r="DN49" s="775">
        <v>1612482</v>
      </c>
      <c r="DP49" s="775"/>
      <c r="DR49" s="775">
        <f t="shared" si="44"/>
        <v>1612482</v>
      </c>
      <c r="DT49" s="776">
        <v>7692399</v>
      </c>
      <c r="DV49" s="971">
        <v>0</v>
      </c>
      <c r="DX49" s="775"/>
      <c r="DZ49" s="775">
        <f t="shared" si="45"/>
        <v>7692399</v>
      </c>
      <c r="EB49" s="775"/>
      <c r="ED49" s="972">
        <v>0</v>
      </c>
      <c r="EF49" s="775"/>
      <c r="EH49" s="775">
        <f t="shared" si="46"/>
        <v>0</v>
      </c>
      <c r="EJ49" s="775">
        <v>30350833</v>
      </c>
      <c r="EL49" s="775"/>
      <c r="EN49" s="775">
        <f t="shared" si="50"/>
        <v>30350833</v>
      </c>
      <c r="EP49" s="775">
        <v>30810360</v>
      </c>
      <c r="ER49" s="775"/>
      <c r="ET49" s="775">
        <f t="shared" si="51"/>
        <v>30810360</v>
      </c>
      <c r="EV49" s="775">
        <v>653775667</v>
      </c>
      <c r="EX49" s="775"/>
      <c r="EZ49" s="775">
        <f t="shared" si="52"/>
        <v>653775667</v>
      </c>
      <c r="FB49" s="775"/>
      <c r="FD49" s="775"/>
      <c r="FF49" s="775"/>
      <c r="FH49" s="775"/>
      <c r="FJ49" s="775">
        <f t="shared" si="53"/>
        <v>0</v>
      </c>
      <c r="FL49" s="775">
        <v>2571150</v>
      </c>
      <c r="FN49" s="775"/>
      <c r="FP49" s="775">
        <f t="shared" si="54"/>
        <v>2571150</v>
      </c>
      <c r="FR49" s="775">
        <v>94176847</v>
      </c>
      <c r="FT49" s="775"/>
      <c r="FV49" s="775">
        <f t="shared" si="55"/>
        <v>94176847</v>
      </c>
      <c r="FX49" s="775">
        <v>30653669</v>
      </c>
      <c r="FZ49" s="775"/>
      <c r="GB49" s="775">
        <f t="shared" si="47"/>
        <v>30653669</v>
      </c>
      <c r="GD49" s="775"/>
      <c r="GF49" s="775"/>
      <c r="GH49" s="775">
        <v>0</v>
      </c>
      <c r="GK49" s="761">
        <f t="shared" si="56"/>
        <v>857073812</v>
      </c>
      <c r="GL49" s="973">
        <f t="shared" si="27"/>
        <v>857073.81200000003</v>
      </c>
      <c r="GM49" s="761">
        <f t="shared" si="48"/>
        <v>822609250</v>
      </c>
      <c r="GN49" s="973"/>
    </row>
    <row r="50" spans="1:196">
      <c r="B50" s="766" t="s">
        <v>650</v>
      </c>
      <c r="J50" s="771">
        <v>19</v>
      </c>
      <c r="K50" s="777">
        <f>SUM(K45:K49)</f>
        <v>3210383</v>
      </c>
      <c r="M50" s="777">
        <f>SUM(M45:M49)</f>
        <v>0</v>
      </c>
      <c r="O50" s="777">
        <f>SUM(O45:O49)</f>
        <v>3210383</v>
      </c>
      <c r="Q50" s="777">
        <f>SUM(Q45:Q49)</f>
        <v>13923892</v>
      </c>
      <c r="S50" s="777">
        <f>SUM(S45:S49)</f>
        <v>0</v>
      </c>
      <c r="U50" s="777">
        <f>SUM(U45:U49)</f>
        <v>13923892</v>
      </c>
      <c r="W50" s="777">
        <f>SUM(W45:W49)</f>
        <v>0</v>
      </c>
      <c r="Y50" s="777">
        <f>SUM(Y45:Y49)</f>
        <v>0</v>
      </c>
      <c r="AA50" s="777">
        <f>SUM(AA45:AA49)</f>
        <v>0</v>
      </c>
      <c r="AC50" s="777">
        <f>SUM(AC45:AC49)</f>
        <v>0</v>
      </c>
      <c r="AE50" s="777">
        <f>SUM(AE45:AE49)</f>
        <v>0</v>
      </c>
      <c r="AG50" s="777">
        <f>SUM(AG45:AG49)</f>
        <v>0</v>
      </c>
      <c r="AI50" s="777">
        <f>SUM(AI45:AI49)</f>
        <v>0</v>
      </c>
      <c r="AK50" s="974">
        <f>SUM(AK45:AK49)</f>
        <v>0</v>
      </c>
      <c r="AM50" s="777">
        <f>SUM(AM45:AM49)</f>
        <v>0</v>
      </c>
      <c r="AO50" s="777">
        <f>SUM(AO45:AO49)</f>
        <v>0</v>
      </c>
      <c r="AQ50" s="777">
        <f>SUM(AQ45:AQ49)</f>
        <v>0</v>
      </c>
      <c r="AS50" s="777">
        <f>SUM(AS45:AS49)</f>
        <v>0</v>
      </c>
      <c r="AU50" s="777">
        <f>SUM(AU45:AU49)</f>
        <v>0</v>
      </c>
      <c r="AW50" s="777">
        <f>SUM(AW45:AW49)</f>
        <v>0</v>
      </c>
      <c r="AY50" s="777">
        <f>SUM(AY45:AY49)</f>
        <v>0</v>
      </c>
      <c r="BA50" s="777">
        <f>SUM(BA45:BA49)</f>
        <v>0</v>
      </c>
      <c r="BC50" s="777">
        <f>SUM(BC45:BC49)</f>
        <v>0</v>
      </c>
      <c r="BE50" s="777">
        <f>SUM(BE45:BE49)</f>
        <v>0</v>
      </c>
      <c r="BG50" s="777">
        <f>SUM(BG45:BG49)</f>
        <v>0</v>
      </c>
      <c r="BI50" s="777">
        <f>SUM(BI45:BI49)</f>
        <v>154166994</v>
      </c>
      <c r="BK50" s="777">
        <f>SUM(BK45:BK49)</f>
        <v>0</v>
      </c>
      <c r="BM50" s="777">
        <f>SUM(BM45:BM49)</f>
        <v>154166994</v>
      </c>
      <c r="BO50" s="777">
        <f>SUM(BO45:BO49)</f>
        <v>0</v>
      </c>
      <c r="BQ50" s="974">
        <f>SUM(BQ45:BQ49)</f>
        <v>0</v>
      </c>
      <c r="BS50" s="777">
        <f>SUM(BS45:BS49)</f>
        <v>0</v>
      </c>
      <c r="BU50" s="777">
        <f>SUM(BU45:BU49)</f>
        <v>0</v>
      </c>
      <c r="BW50" s="777">
        <f>SUM(BW45:BW49)</f>
        <v>0</v>
      </c>
      <c r="BX50" s="777"/>
      <c r="BY50" s="777"/>
      <c r="BZ50" s="777">
        <f t="shared" ref="BZ50" si="57">SUM(BZ45:BZ49)</f>
        <v>0</v>
      </c>
      <c r="CB50" s="777">
        <f>SUM(CB45:CB49)</f>
        <v>0</v>
      </c>
      <c r="CD50" s="974">
        <f>SUM(CD45:CD49)</f>
        <v>0</v>
      </c>
      <c r="CF50" s="777">
        <f>SUM(CF45:CF49)</f>
        <v>0</v>
      </c>
      <c r="CH50" s="777">
        <f>SUM(CH45:CH49)</f>
        <v>0</v>
      </c>
      <c r="CJ50" s="777">
        <f>SUM(CJ45:CJ49)</f>
        <v>0</v>
      </c>
      <c r="CL50" s="777">
        <f>SUM(CL45:CL49)</f>
        <v>0</v>
      </c>
      <c r="CN50" s="777">
        <f>SUM(CN45:CN49)</f>
        <v>0</v>
      </c>
      <c r="CP50" s="777">
        <f>SUM(CP45:CP49)</f>
        <v>0</v>
      </c>
      <c r="CR50" s="777">
        <f>SUM(CR45:CR49)</f>
        <v>0</v>
      </c>
      <c r="CT50" s="777">
        <f>SUM(CT45:CT49)</f>
        <v>0</v>
      </c>
      <c r="CV50" s="777">
        <f>SUM(CV45:CV49)</f>
        <v>680489</v>
      </c>
      <c r="CX50" s="777">
        <f>SUM(CX45:CX49)</f>
        <v>0</v>
      </c>
      <c r="CZ50" s="777">
        <f>SUM(CZ45:CZ49)</f>
        <v>680489</v>
      </c>
      <c r="DB50" s="777">
        <f>SUM(DB45:DB49)</f>
        <v>0</v>
      </c>
      <c r="DD50" s="777">
        <f>SUM(DD45:DD49)</f>
        <v>0</v>
      </c>
      <c r="DF50" s="777">
        <f>SUM(DF45:DF49)</f>
        <v>0</v>
      </c>
      <c r="DH50" s="777">
        <f>SUM(DH45:DH49)</f>
        <v>1517922</v>
      </c>
      <c r="DJ50" s="777">
        <f>SUM(DJ45:DJ49)</f>
        <v>0</v>
      </c>
      <c r="DL50" s="777">
        <f>SUM(DL45:DL49)</f>
        <v>1517922</v>
      </c>
      <c r="DN50" s="777">
        <f>SUM(DN45:DN49)</f>
        <v>1612482</v>
      </c>
      <c r="DP50" s="777">
        <f>SUM(DP45:DP49)</f>
        <v>0</v>
      </c>
      <c r="DR50" s="777">
        <f>SUM(DR45:DR49)</f>
        <v>1612482</v>
      </c>
      <c r="DT50" s="777">
        <f>SUM(DT45:DT49)</f>
        <v>7692399</v>
      </c>
      <c r="DV50" s="975">
        <f>SUM(DV45:DV49)</f>
        <v>0</v>
      </c>
      <c r="DX50" s="777">
        <f>SUM(DX45:DX49)</f>
        <v>0</v>
      </c>
      <c r="DZ50" s="777">
        <f>SUM(DZ45:DZ49)</f>
        <v>7692399</v>
      </c>
      <c r="EB50" s="777">
        <f>SUM(EB45:EB49)</f>
        <v>0</v>
      </c>
      <c r="ED50" s="976">
        <f>SUM(ED45:ED49)</f>
        <v>0</v>
      </c>
      <c r="EF50" s="777">
        <f>SUM(EF45:EF49)</f>
        <v>0</v>
      </c>
      <c r="EH50" s="777">
        <f>SUM(EH45:EH49)</f>
        <v>0</v>
      </c>
      <c r="EJ50" s="777">
        <f>SUM(EJ45:EJ49)</f>
        <v>30350833</v>
      </c>
      <c r="EL50" s="777">
        <f>SUM(EL45:EL49)</f>
        <v>0</v>
      </c>
      <c r="EN50" s="777">
        <f>SUM(EN45:EN49)</f>
        <v>30350833</v>
      </c>
      <c r="EP50" s="777">
        <f>SUM(EP45:EP49)</f>
        <v>30810360</v>
      </c>
      <c r="ER50" s="777">
        <f>SUM(ER45:ER49)</f>
        <v>0</v>
      </c>
      <c r="ET50" s="777">
        <f>SUM(ET45:ET49)</f>
        <v>30810360</v>
      </c>
      <c r="EV50" s="777">
        <f>SUM(EV45:EV49)</f>
        <v>653775667</v>
      </c>
      <c r="EX50" s="777">
        <f>SUM(EX45:EX49)</f>
        <v>0</v>
      </c>
      <c r="EZ50" s="777">
        <f>SUM(EZ45:EZ49)</f>
        <v>653775667</v>
      </c>
      <c r="FB50" s="777">
        <f>SUM(FB45:FB49)</f>
        <v>0</v>
      </c>
      <c r="FD50" s="777">
        <f>SUM(FD45:FD49)</f>
        <v>0</v>
      </c>
      <c r="FF50" s="777">
        <f>SUM(FF45:FF49)</f>
        <v>0</v>
      </c>
      <c r="FH50" s="777">
        <f>SUM(FH45:FH49)</f>
        <v>0</v>
      </c>
      <c r="FJ50" s="777">
        <f>SUM(FJ45:FJ49)</f>
        <v>0</v>
      </c>
      <c r="FL50" s="777">
        <f>SUM(FL45:FL49)</f>
        <v>2571150</v>
      </c>
      <c r="FN50" s="777">
        <f>SUM(FN45:FN49)</f>
        <v>41196264</v>
      </c>
      <c r="FP50" s="777">
        <f>SUM(FP45:FP49)</f>
        <v>43767414</v>
      </c>
      <c r="FR50" s="777">
        <f>SUM(FR45:FR49)</f>
        <v>124849664</v>
      </c>
      <c r="FT50" s="777">
        <f>SUM(FT45:FT49)</f>
        <v>0</v>
      </c>
      <c r="FV50" s="777">
        <f>SUM(FV45:FV49)</f>
        <v>124849664</v>
      </c>
      <c r="FX50" s="777">
        <f>SUM(FX45:FX49)</f>
        <v>30653669</v>
      </c>
      <c r="FZ50" s="777">
        <f>SUM(FZ45:FZ49)</f>
        <v>0</v>
      </c>
      <c r="GB50" s="777">
        <f>SUM(GB45:GB49)</f>
        <v>30653669</v>
      </c>
      <c r="GD50" s="777">
        <v>0</v>
      </c>
      <c r="GF50" s="777">
        <v>0</v>
      </c>
      <c r="GH50" s="777">
        <v>0</v>
      </c>
      <c r="GK50" s="761">
        <f t="shared" si="56"/>
        <v>1097012168</v>
      </c>
      <c r="GL50" s="973">
        <f t="shared" si="27"/>
        <v>1097012.1680000001</v>
      </c>
      <c r="GM50" s="761">
        <f t="shared" si="48"/>
        <v>1062547606</v>
      </c>
      <c r="GN50" s="973"/>
    </row>
    <row r="51" spans="1:196">
      <c r="J51" s="758">
        <v>20</v>
      </c>
      <c r="BQ51" s="952"/>
      <c r="BW51" s="761"/>
      <c r="BZ51" s="952"/>
      <c r="CB51" s="761"/>
      <c r="CD51" s="952"/>
      <c r="CP51" s="761"/>
      <c r="CV51" s="761"/>
      <c r="DB51" s="761"/>
      <c r="DH51" s="761"/>
      <c r="DN51" s="761"/>
      <c r="DT51" s="761"/>
      <c r="DV51" s="977"/>
      <c r="EB51" s="761"/>
      <c r="ED51" s="978"/>
      <c r="EJ51" s="761"/>
      <c r="EP51" s="761"/>
      <c r="EV51" s="761"/>
      <c r="FB51" s="761"/>
      <c r="FD51" s="761"/>
      <c r="GL51" s="973">
        <f t="shared" si="27"/>
        <v>0</v>
      </c>
      <c r="GN51" s="973"/>
    </row>
    <row r="52" spans="1:196">
      <c r="A52" s="758" t="s">
        <v>740</v>
      </c>
      <c r="J52" s="770">
        <v>21</v>
      </c>
      <c r="K52" s="775"/>
      <c r="M52" s="775"/>
      <c r="O52" s="775">
        <f t="shared" ref="O52:O57" si="58">K52+M52</f>
        <v>0</v>
      </c>
      <c r="Q52" s="776">
        <v>2232281</v>
      </c>
      <c r="S52" s="775"/>
      <c r="U52" s="775">
        <f t="shared" ref="U52:U57" si="59">Q52+S52</f>
        <v>2232281</v>
      </c>
      <c r="W52" s="775"/>
      <c r="Y52" s="775"/>
      <c r="AA52" s="775">
        <f t="shared" ref="AA52:AA57" si="60">W52+Y52</f>
        <v>0</v>
      </c>
      <c r="AC52" s="775"/>
      <c r="AE52" s="775"/>
      <c r="AG52" s="775">
        <f t="shared" ref="AG52:AG57" si="61">AC52+AE52</f>
        <v>0</v>
      </c>
      <c r="AI52" s="776">
        <v>214845</v>
      </c>
      <c r="AK52" s="970">
        <v>0</v>
      </c>
      <c r="AM52" s="775"/>
      <c r="AO52" s="775">
        <f t="shared" ref="AO52:AO57" si="62">AI52+AM52</f>
        <v>214845</v>
      </c>
      <c r="AQ52" s="775"/>
      <c r="AS52" s="775"/>
      <c r="AU52" s="775">
        <f t="shared" ref="AU52:AU57" si="63">AQ52+AS52</f>
        <v>0</v>
      </c>
      <c r="AW52" s="775"/>
      <c r="AY52" s="775"/>
      <c r="BA52" s="775">
        <f t="shared" ref="BA52:BA57" si="64">AW52+AY52</f>
        <v>0</v>
      </c>
      <c r="BC52" s="775">
        <v>236244</v>
      </c>
      <c r="BE52" s="775"/>
      <c r="BG52" s="775">
        <f t="shared" ref="BG52:BG57" si="65">BC52+BE52</f>
        <v>236244</v>
      </c>
      <c r="BI52" s="775">
        <v>12139798</v>
      </c>
      <c r="BK52" s="775"/>
      <c r="BM52" s="775">
        <f t="shared" ref="BM52:BM57" si="66">BI52+BK52</f>
        <v>12139798</v>
      </c>
      <c r="BO52" s="775"/>
      <c r="BQ52" s="970"/>
      <c r="BS52" s="775"/>
      <c r="BU52" s="775">
        <f t="shared" ref="BU52:BU57" si="67">BO52+BS52</f>
        <v>0</v>
      </c>
      <c r="BW52" s="776">
        <v>887521</v>
      </c>
      <c r="BZ52" s="970"/>
      <c r="CB52" s="775"/>
      <c r="CD52" s="970"/>
      <c r="CF52" s="775"/>
      <c r="CH52" s="775">
        <f t="shared" ref="CH52:CH57" si="68">BW52+CF52</f>
        <v>887521</v>
      </c>
      <c r="CJ52" s="775">
        <v>334565</v>
      </c>
      <c r="CL52" s="775"/>
      <c r="CN52" s="775">
        <f t="shared" ref="CN52:CN57" si="69">CJ52+CL52</f>
        <v>334565</v>
      </c>
      <c r="CP52" s="775">
        <v>773793</v>
      </c>
      <c r="CR52" s="775"/>
      <c r="CT52" s="775">
        <f t="shared" ref="CT52:CT57" si="70">CP52+CR52</f>
        <v>773793</v>
      </c>
      <c r="CV52" s="775"/>
      <c r="CX52" s="775"/>
      <c r="CZ52" s="775">
        <f t="shared" ref="CZ52:CZ57" si="71">CV52+CX52</f>
        <v>0</v>
      </c>
      <c r="DB52" s="775">
        <v>60081000</v>
      </c>
      <c r="DD52" s="775"/>
      <c r="DF52" s="775">
        <f t="shared" ref="DF52:DF57" si="72">DB52+DD52</f>
        <v>60081000</v>
      </c>
      <c r="DH52" s="775">
        <v>8399</v>
      </c>
      <c r="DJ52" s="775"/>
      <c r="DL52" s="775">
        <f t="shared" ref="DL52:DL57" si="73">DH52+DJ52</f>
        <v>8399</v>
      </c>
      <c r="DN52" s="775">
        <v>12911</v>
      </c>
      <c r="DP52" s="775"/>
      <c r="DR52" s="775">
        <f t="shared" ref="DR52:DR57" si="74">DN52+DP52</f>
        <v>12911</v>
      </c>
      <c r="DT52" s="775">
        <v>100412</v>
      </c>
      <c r="DV52" s="971">
        <v>0</v>
      </c>
      <c r="DX52" s="775"/>
      <c r="DZ52" s="775">
        <f t="shared" ref="DZ52:DZ57" si="75">DT52+DX52</f>
        <v>100412</v>
      </c>
      <c r="EB52" s="775">
        <v>1923628</v>
      </c>
      <c r="ED52" s="972"/>
      <c r="EF52" s="775"/>
      <c r="EH52" s="775">
        <f t="shared" ref="EH52:EH57" si="76">EB52+EF52</f>
        <v>1923628</v>
      </c>
      <c r="EJ52" s="775"/>
      <c r="EL52" s="775"/>
      <c r="EN52" s="775">
        <f t="shared" ref="EN52:EN57" si="77">EJ52+EL52</f>
        <v>0</v>
      </c>
      <c r="EP52" s="776"/>
      <c r="ER52" s="775"/>
      <c r="ET52" s="775">
        <f t="shared" ref="ET52:ET57" si="78">EP52+ER52</f>
        <v>0</v>
      </c>
      <c r="EV52" s="775">
        <v>2060023</v>
      </c>
      <c r="EX52" s="775"/>
      <c r="EZ52" s="775">
        <f t="shared" ref="EZ52:EZ57" si="79">EV52+EX52</f>
        <v>2060023</v>
      </c>
      <c r="FB52" s="775"/>
      <c r="FD52" s="775"/>
      <c r="FF52" s="775"/>
      <c r="FH52" s="775"/>
      <c r="FJ52" s="775">
        <f t="shared" ref="FJ52:FJ57" si="80">FF52+FH52</f>
        <v>0</v>
      </c>
      <c r="FL52" s="775">
        <v>1816922</v>
      </c>
      <c r="FN52" s="775"/>
      <c r="FP52" s="775">
        <f t="shared" ref="FP52:FP57" si="81">FL52+FN52</f>
        <v>1816922</v>
      </c>
      <c r="FR52" s="775">
        <v>16754031</v>
      </c>
      <c r="FT52" s="775"/>
      <c r="FV52" s="775">
        <f t="shared" ref="FV52:FV57" si="82">FR52+FT52</f>
        <v>16754031</v>
      </c>
      <c r="FX52" s="775">
        <v>128700</v>
      </c>
      <c r="FZ52" s="775"/>
      <c r="GB52" s="775">
        <f t="shared" ref="GB52:GB57" si="83">FX52+FZ52</f>
        <v>128700</v>
      </c>
      <c r="GD52" s="775"/>
      <c r="GF52" s="775"/>
      <c r="GH52" s="775">
        <v>0</v>
      </c>
      <c r="GK52" s="761">
        <f t="shared" ref="GK52:GK58" si="84">O52+U52+AA52+AG52+AO52+AU52+BA52+BG52+BM52+BU52+CH52+CN52+CT52+CZ52+DF52+DL52+DR52+DZ52+EH52+EN52+ET52+EZ52+FJ52+FP52+FV52+GB52</f>
        <v>99705073</v>
      </c>
      <c r="GL52" s="973">
        <f t="shared" si="27"/>
        <v>99705.073000000004</v>
      </c>
      <c r="GM52" s="761">
        <f t="shared" ref="GM52:GM58" si="85">O52+U52+AA52+AG52+AO52+BA52+BG52+BM52+BU52+CH52+CN52+CT52+DF52+DZ52+EH52+EN52+ET52+EZ52+FJ52+FP52+FV52</f>
        <v>99555063</v>
      </c>
      <c r="GN52" s="973"/>
    </row>
    <row r="53" spans="1:196">
      <c r="A53" s="758" t="s">
        <v>1723</v>
      </c>
      <c r="J53" s="758">
        <v>22</v>
      </c>
      <c r="K53" s="775"/>
      <c r="M53" s="775"/>
      <c r="O53" s="775">
        <f t="shared" si="58"/>
        <v>0</v>
      </c>
      <c r="Q53" s="776"/>
      <c r="S53" s="775"/>
      <c r="U53" s="775">
        <f t="shared" si="59"/>
        <v>0</v>
      </c>
      <c r="W53" s="775"/>
      <c r="Y53" s="775"/>
      <c r="AA53" s="775">
        <f t="shared" si="60"/>
        <v>0</v>
      </c>
      <c r="AC53" s="775"/>
      <c r="AE53" s="775"/>
      <c r="AG53" s="775">
        <f t="shared" si="61"/>
        <v>0</v>
      </c>
      <c r="AI53" s="775"/>
      <c r="AK53" s="970">
        <v>0</v>
      </c>
      <c r="AM53" s="775"/>
      <c r="AO53" s="775">
        <f t="shared" si="62"/>
        <v>0</v>
      </c>
      <c r="AQ53" s="775"/>
      <c r="AS53" s="775"/>
      <c r="AU53" s="775">
        <f t="shared" si="63"/>
        <v>0</v>
      </c>
      <c r="AW53" s="775">
        <v>15054783</v>
      </c>
      <c r="AY53" s="775"/>
      <c r="BA53" s="775">
        <f t="shared" si="64"/>
        <v>15054783</v>
      </c>
      <c r="BC53" s="775"/>
      <c r="BE53" s="775"/>
      <c r="BG53" s="775">
        <f t="shared" si="65"/>
        <v>0</v>
      </c>
      <c r="BI53" s="775"/>
      <c r="BK53" s="775"/>
      <c r="BM53" s="775">
        <f t="shared" si="66"/>
        <v>0</v>
      </c>
      <c r="BO53" s="775">
        <v>3994996</v>
      </c>
      <c r="BQ53" s="970"/>
      <c r="BS53" s="775"/>
      <c r="BU53" s="775">
        <f t="shared" si="67"/>
        <v>3994996</v>
      </c>
      <c r="BW53" s="776"/>
      <c r="BZ53" s="970"/>
      <c r="CB53" s="775"/>
      <c r="CD53" s="970"/>
      <c r="CF53" s="775"/>
      <c r="CH53" s="775">
        <f t="shared" si="68"/>
        <v>0</v>
      </c>
      <c r="CJ53" s="775"/>
      <c r="CL53" s="775"/>
      <c r="CN53" s="775">
        <f t="shared" si="69"/>
        <v>0</v>
      </c>
      <c r="CP53" s="775"/>
      <c r="CR53" s="775"/>
      <c r="CT53" s="775">
        <f t="shared" si="70"/>
        <v>0</v>
      </c>
      <c r="CV53" s="775"/>
      <c r="CX53" s="775"/>
      <c r="CZ53" s="775">
        <f t="shared" si="71"/>
        <v>0</v>
      </c>
      <c r="DB53" s="775"/>
      <c r="DD53" s="775"/>
      <c r="DF53" s="775">
        <f t="shared" si="72"/>
        <v>0</v>
      </c>
      <c r="DH53" s="775"/>
      <c r="DJ53" s="775"/>
      <c r="DL53" s="775">
        <f t="shared" si="73"/>
        <v>0</v>
      </c>
      <c r="DN53" s="775"/>
      <c r="DP53" s="775"/>
      <c r="DR53" s="775">
        <f t="shared" si="74"/>
        <v>0</v>
      </c>
      <c r="DT53" s="775"/>
      <c r="DV53" s="971">
        <v>0</v>
      </c>
      <c r="DX53" s="775"/>
      <c r="DZ53" s="775">
        <f t="shared" si="75"/>
        <v>0</v>
      </c>
      <c r="EB53" s="775"/>
      <c r="ED53" s="972"/>
      <c r="EF53" s="775"/>
      <c r="EH53" s="775">
        <f t="shared" si="76"/>
        <v>0</v>
      </c>
      <c r="EJ53" s="775">
        <v>4394064033</v>
      </c>
      <c r="EL53" s="775">
        <v>-4394064033</v>
      </c>
      <c r="EN53" s="775">
        <f t="shared" si="77"/>
        <v>0</v>
      </c>
      <c r="EP53" s="776">
        <v>6968081389</v>
      </c>
      <c r="ER53" s="775">
        <v>-6671535116</v>
      </c>
      <c r="ET53" s="775">
        <f t="shared" si="78"/>
        <v>296546273</v>
      </c>
      <c r="EV53" s="775"/>
      <c r="EX53" s="775"/>
      <c r="EZ53" s="775">
        <f t="shared" si="79"/>
        <v>0</v>
      </c>
      <c r="FB53" s="775"/>
      <c r="FD53" s="775"/>
      <c r="FF53" s="775"/>
      <c r="FH53" s="775"/>
      <c r="FJ53" s="775">
        <f t="shared" si="80"/>
        <v>0</v>
      </c>
      <c r="FL53" s="775"/>
      <c r="FN53" s="775"/>
      <c r="FP53" s="775">
        <f t="shared" si="81"/>
        <v>0</v>
      </c>
      <c r="FR53" s="775"/>
      <c r="FT53" s="775"/>
      <c r="FV53" s="775">
        <f t="shared" si="82"/>
        <v>0</v>
      </c>
      <c r="FX53" s="775"/>
      <c r="FZ53" s="775"/>
      <c r="GB53" s="775">
        <f t="shared" si="83"/>
        <v>0</v>
      </c>
      <c r="GD53" s="775"/>
      <c r="GF53" s="775"/>
      <c r="GH53" s="775">
        <v>0</v>
      </c>
      <c r="GK53" s="761">
        <f t="shared" si="84"/>
        <v>315596052</v>
      </c>
      <c r="GL53" s="973">
        <f t="shared" si="27"/>
        <v>315596.05200000003</v>
      </c>
      <c r="GM53" s="761">
        <f t="shared" si="85"/>
        <v>315596052</v>
      </c>
      <c r="GN53" s="973"/>
    </row>
    <row r="54" spans="1:196" ht="12" customHeight="1">
      <c r="A54" s="758" t="s">
        <v>1091</v>
      </c>
      <c r="J54" s="770">
        <v>23</v>
      </c>
      <c r="K54" s="775"/>
      <c r="M54" s="775"/>
      <c r="O54" s="775">
        <f t="shared" si="58"/>
        <v>0</v>
      </c>
      <c r="Q54" s="776"/>
      <c r="S54" s="775"/>
      <c r="U54" s="775">
        <f t="shared" si="59"/>
        <v>0</v>
      </c>
      <c r="W54" s="775"/>
      <c r="Y54" s="775"/>
      <c r="AA54" s="775">
        <f t="shared" si="60"/>
        <v>0</v>
      </c>
      <c r="AC54" s="775"/>
      <c r="AE54" s="775"/>
      <c r="AG54" s="775">
        <f t="shared" si="61"/>
        <v>0</v>
      </c>
      <c r="AI54" s="775"/>
      <c r="AK54" s="970"/>
      <c r="AM54" s="775"/>
      <c r="AO54" s="775">
        <f t="shared" si="62"/>
        <v>0</v>
      </c>
      <c r="AQ54" s="775"/>
      <c r="AS54" s="775"/>
      <c r="AU54" s="775">
        <f t="shared" si="63"/>
        <v>0</v>
      </c>
      <c r="AW54" s="775"/>
      <c r="AY54" s="775"/>
      <c r="BA54" s="775">
        <f t="shared" si="64"/>
        <v>0</v>
      </c>
      <c r="BC54" s="775"/>
      <c r="BE54" s="775"/>
      <c r="BG54" s="775">
        <f t="shared" si="65"/>
        <v>0</v>
      </c>
      <c r="BI54" s="775"/>
      <c r="BK54" s="775"/>
      <c r="BM54" s="775">
        <f t="shared" si="66"/>
        <v>0</v>
      </c>
      <c r="BO54" s="775"/>
      <c r="BQ54" s="970"/>
      <c r="BS54" s="775"/>
      <c r="BU54" s="775">
        <f t="shared" si="67"/>
        <v>0</v>
      </c>
      <c r="BW54" s="776"/>
      <c r="BZ54" s="970"/>
      <c r="CB54" s="775"/>
      <c r="CD54" s="970"/>
      <c r="CF54" s="775"/>
      <c r="CH54" s="775">
        <f t="shared" si="68"/>
        <v>0</v>
      </c>
      <c r="CJ54" s="775"/>
      <c r="CL54" s="775"/>
      <c r="CN54" s="775">
        <f t="shared" si="69"/>
        <v>0</v>
      </c>
      <c r="CP54" s="775"/>
      <c r="CR54" s="775"/>
      <c r="CT54" s="775">
        <f t="shared" si="70"/>
        <v>0</v>
      </c>
      <c r="CV54" s="775"/>
      <c r="CX54" s="775"/>
      <c r="CZ54" s="775">
        <f t="shared" si="71"/>
        <v>0</v>
      </c>
      <c r="DB54" s="775"/>
      <c r="DD54" s="775"/>
      <c r="DF54" s="775">
        <f t="shared" si="72"/>
        <v>0</v>
      </c>
      <c r="DH54" s="775"/>
      <c r="DJ54" s="775"/>
      <c r="DL54" s="775">
        <f t="shared" si="73"/>
        <v>0</v>
      </c>
      <c r="DN54" s="775"/>
      <c r="DP54" s="775"/>
      <c r="DR54" s="775">
        <f t="shared" si="74"/>
        <v>0</v>
      </c>
      <c r="DT54" s="775"/>
      <c r="DV54" s="971"/>
      <c r="DX54" s="775"/>
      <c r="DZ54" s="775">
        <f t="shared" si="75"/>
        <v>0</v>
      </c>
      <c r="EB54" s="775"/>
      <c r="ED54" s="972"/>
      <c r="EF54" s="775"/>
      <c r="EH54" s="775">
        <f t="shared" si="76"/>
        <v>0</v>
      </c>
      <c r="EJ54" s="775"/>
      <c r="EL54" s="775"/>
      <c r="EN54" s="775">
        <f t="shared" si="77"/>
        <v>0</v>
      </c>
      <c r="EP54" s="776"/>
      <c r="ER54" s="775"/>
      <c r="ET54" s="775">
        <f t="shared" si="78"/>
        <v>0</v>
      </c>
      <c r="EV54" s="775"/>
      <c r="EX54" s="775"/>
      <c r="EZ54" s="775">
        <f t="shared" si="79"/>
        <v>0</v>
      </c>
      <c r="FB54" s="775"/>
      <c r="FD54" s="775"/>
      <c r="FF54" s="775">
        <v>3746178559</v>
      </c>
      <c r="FH54" s="775">
        <v>-3746178559</v>
      </c>
      <c r="FJ54" s="775">
        <f t="shared" si="80"/>
        <v>0</v>
      </c>
      <c r="FL54" s="775"/>
      <c r="FN54" s="775"/>
      <c r="FP54" s="775">
        <f t="shared" si="81"/>
        <v>0</v>
      </c>
      <c r="FR54" s="775"/>
      <c r="FT54" s="775"/>
      <c r="FV54" s="775">
        <f t="shared" si="82"/>
        <v>0</v>
      </c>
      <c r="FX54" s="775"/>
      <c r="FZ54" s="775"/>
      <c r="GB54" s="775">
        <f t="shared" si="83"/>
        <v>0</v>
      </c>
      <c r="GD54" s="775"/>
      <c r="GF54" s="775"/>
      <c r="GH54" s="775">
        <v>0</v>
      </c>
      <c r="GK54" s="761">
        <f t="shared" si="84"/>
        <v>0</v>
      </c>
      <c r="GL54" s="973">
        <f t="shared" si="27"/>
        <v>0</v>
      </c>
      <c r="GM54" s="761">
        <f t="shared" si="85"/>
        <v>0</v>
      </c>
      <c r="GN54" s="973"/>
    </row>
    <row r="55" spans="1:196">
      <c r="A55" s="758" t="s">
        <v>244</v>
      </c>
      <c r="J55" s="758">
        <v>24</v>
      </c>
      <c r="K55" s="775"/>
      <c r="M55" s="775"/>
      <c r="O55" s="775">
        <f t="shared" si="58"/>
        <v>0</v>
      </c>
      <c r="Q55" s="776"/>
      <c r="S55" s="775"/>
      <c r="U55" s="775">
        <f t="shared" si="59"/>
        <v>0</v>
      </c>
      <c r="W55" s="775"/>
      <c r="Y55" s="775"/>
      <c r="AA55" s="775">
        <f t="shared" si="60"/>
        <v>0</v>
      </c>
      <c r="AC55" s="775"/>
      <c r="AE55" s="775"/>
      <c r="AG55" s="775">
        <f t="shared" si="61"/>
        <v>0</v>
      </c>
      <c r="AI55" s="775"/>
      <c r="AK55" s="970">
        <v>0</v>
      </c>
      <c r="AM55" s="775"/>
      <c r="AO55" s="775">
        <f t="shared" si="62"/>
        <v>0</v>
      </c>
      <c r="AQ55" s="775"/>
      <c r="AS55" s="775"/>
      <c r="AU55" s="775">
        <f t="shared" si="63"/>
        <v>0</v>
      </c>
      <c r="AW55" s="775"/>
      <c r="AY55" s="775"/>
      <c r="BA55" s="775">
        <f t="shared" si="64"/>
        <v>0</v>
      </c>
      <c r="BC55" s="775"/>
      <c r="BE55" s="775"/>
      <c r="BG55" s="775">
        <f t="shared" si="65"/>
        <v>0</v>
      </c>
      <c r="BI55" s="775"/>
      <c r="BK55" s="775"/>
      <c r="BM55" s="775">
        <f t="shared" si="66"/>
        <v>0</v>
      </c>
      <c r="BO55" s="775"/>
      <c r="BQ55" s="970"/>
      <c r="BS55" s="775"/>
      <c r="BU55" s="775">
        <f t="shared" si="67"/>
        <v>0</v>
      </c>
      <c r="BW55" s="776"/>
      <c r="BZ55" s="970"/>
      <c r="CB55" s="775"/>
      <c r="CD55" s="970"/>
      <c r="CF55" s="775"/>
      <c r="CH55" s="775">
        <f t="shared" si="68"/>
        <v>0</v>
      </c>
      <c r="CJ55" s="775"/>
      <c r="CL55" s="775"/>
      <c r="CN55" s="775">
        <f t="shared" si="69"/>
        <v>0</v>
      </c>
      <c r="CP55" s="775"/>
      <c r="CR55" s="775"/>
      <c r="CT55" s="775">
        <f t="shared" si="70"/>
        <v>0</v>
      </c>
      <c r="CV55" s="775"/>
      <c r="CX55" s="775"/>
      <c r="CZ55" s="775">
        <f t="shared" si="71"/>
        <v>0</v>
      </c>
      <c r="DB55" s="775"/>
      <c r="DD55" s="775"/>
      <c r="DF55" s="775">
        <f t="shared" si="72"/>
        <v>0</v>
      </c>
      <c r="DH55" s="775"/>
      <c r="DJ55" s="775"/>
      <c r="DL55" s="775">
        <f t="shared" si="73"/>
        <v>0</v>
      </c>
      <c r="DN55" s="775"/>
      <c r="DP55" s="775"/>
      <c r="DR55" s="775">
        <f t="shared" si="74"/>
        <v>0</v>
      </c>
      <c r="DT55" s="775"/>
      <c r="DV55" s="971">
        <v>0</v>
      </c>
      <c r="DX55" s="775"/>
      <c r="DZ55" s="775">
        <f t="shared" si="75"/>
        <v>0</v>
      </c>
      <c r="EB55" s="775"/>
      <c r="ED55" s="972"/>
      <c r="EF55" s="775"/>
      <c r="EH55" s="775">
        <f t="shared" si="76"/>
        <v>0</v>
      </c>
      <c r="EJ55" s="775"/>
      <c r="EL55" s="775"/>
      <c r="EN55" s="775">
        <f t="shared" si="77"/>
        <v>0</v>
      </c>
      <c r="EP55" s="775"/>
      <c r="ER55" s="775"/>
      <c r="ET55" s="775">
        <f t="shared" si="78"/>
        <v>0</v>
      </c>
      <c r="EV55" s="775">
        <v>6904724</v>
      </c>
      <c r="EX55" s="775"/>
      <c r="EZ55" s="775">
        <f t="shared" si="79"/>
        <v>6904724</v>
      </c>
      <c r="FB55" s="775"/>
      <c r="FD55" s="775"/>
      <c r="FF55" s="775"/>
      <c r="FH55" s="775"/>
      <c r="FJ55" s="775">
        <f t="shared" si="80"/>
        <v>0</v>
      </c>
      <c r="FL55" s="775"/>
      <c r="FN55" s="775"/>
      <c r="FP55" s="775">
        <f t="shared" si="81"/>
        <v>0</v>
      </c>
      <c r="FR55" s="775"/>
      <c r="FT55" s="775"/>
      <c r="FV55" s="775">
        <f t="shared" si="82"/>
        <v>0</v>
      </c>
      <c r="FX55" s="775">
        <v>727614</v>
      </c>
      <c r="FZ55" s="775"/>
      <c r="GB55" s="775">
        <f t="shared" si="83"/>
        <v>727614</v>
      </c>
      <c r="GD55" s="775"/>
      <c r="GF55" s="775"/>
      <c r="GH55" s="775">
        <v>0</v>
      </c>
      <c r="GK55" s="761">
        <f t="shared" si="84"/>
        <v>7632338</v>
      </c>
      <c r="GL55" s="973">
        <f t="shared" si="27"/>
        <v>7632.3379999999997</v>
      </c>
      <c r="GM55" s="761">
        <f t="shared" si="85"/>
        <v>6904724</v>
      </c>
      <c r="GN55" s="973"/>
    </row>
    <row r="56" spans="1:196">
      <c r="A56" s="758" t="s">
        <v>689</v>
      </c>
      <c r="J56" s="770">
        <v>25</v>
      </c>
      <c r="K56" s="775"/>
      <c r="M56" s="775"/>
      <c r="O56" s="775">
        <f t="shared" si="58"/>
        <v>0</v>
      </c>
      <c r="Q56" s="775"/>
      <c r="S56" s="775"/>
      <c r="U56" s="775">
        <f t="shared" si="59"/>
        <v>0</v>
      </c>
      <c r="W56" s="775"/>
      <c r="Y56" s="775"/>
      <c r="AA56" s="775">
        <f t="shared" si="60"/>
        <v>0</v>
      </c>
      <c r="AC56" s="775"/>
      <c r="AE56" s="775"/>
      <c r="AG56" s="775">
        <f t="shared" si="61"/>
        <v>0</v>
      </c>
      <c r="AI56" s="775"/>
      <c r="AK56" s="970">
        <v>0</v>
      </c>
      <c r="AM56" s="775"/>
      <c r="AO56" s="775">
        <f t="shared" si="62"/>
        <v>0</v>
      </c>
      <c r="AQ56" s="775"/>
      <c r="AS56" s="775"/>
      <c r="AU56" s="775">
        <f t="shared" si="63"/>
        <v>0</v>
      </c>
      <c r="AW56" s="775">
        <v>20232</v>
      </c>
      <c r="AY56" s="775"/>
      <c r="BA56" s="775">
        <f t="shared" si="64"/>
        <v>20232</v>
      </c>
      <c r="BC56" s="775"/>
      <c r="BE56" s="775"/>
      <c r="BG56" s="775">
        <f t="shared" si="65"/>
        <v>0</v>
      </c>
      <c r="BI56" s="775">
        <v>357188</v>
      </c>
      <c r="BK56" s="775"/>
      <c r="BM56" s="775">
        <f t="shared" si="66"/>
        <v>357188</v>
      </c>
      <c r="BO56" s="775"/>
      <c r="BQ56" s="970"/>
      <c r="BS56" s="775"/>
      <c r="BU56" s="775">
        <f t="shared" si="67"/>
        <v>0</v>
      </c>
      <c r="BW56" s="776">
        <v>30046</v>
      </c>
      <c r="BZ56" s="970"/>
      <c r="CB56" s="775"/>
      <c r="CD56" s="970"/>
      <c r="CF56" s="775"/>
      <c r="CH56" s="775">
        <f t="shared" si="68"/>
        <v>30046</v>
      </c>
      <c r="CJ56" s="775"/>
      <c r="CL56" s="775"/>
      <c r="CN56" s="775">
        <f t="shared" si="69"/>
        <v>0</v>
      </c>
      <c r="CP56" s="775"/>
      <c r="CR56" s="775"/>
      <c r="CT56" s="775">
        <f t="shared" si="70"/>
        <v>0</v>
      </c>
      <c r="CV56" s="775">
        <v>2614</v>
      </c>
      <c r="CX56" s="775"/>
      <c r="CZ56" s="775">
        <f t="shared" si="71"/>
        <v>2614</v>
      </c>
      <c r="DB56" s="775"/>
      <c r="DD56" s="775"/>
      <c r="DF56" s="775">
        <f t="shared" si="72"/>
        <v>0</v>
      </c>
      <c r="DH56" s="775"/>
      <c r="DJ56" s="775"/>
      <c r="DL56" s="775">
        <f t="shared" si="73"/>
        <v>0</v>
      </c>
      <c r="DN56" s="775"/>
      <c r="DP56" s="775"/>
      <c r="DR56" s="775">
        <f t="shared" si="74"/>
        <v>0</v>
      </c>
      <c r="DT56" s="775"/>
      <c r="DV56" s="971">
        <v>0</v>
      </c>
      <c r="DX56" s="775"/>
      <c r="DZ56" s="775">
        <f t="shared" si="75"/>
        <v>0</v>
      </c>
      <c r="EB56" s="775"/>
      <c r="ED56" s="972"/>
      <c r="EF56" s="775"/>
      <c r="EH56" s="775">
        <f t="shared" si="76"/>
        <v>0</v>
      </c>
      <c r="EJ56" s="775">
        <v>34910600</v>
      </c>
      <c r="EL56" s="775"/>
      <c r="EN56" s="775">
        <f t="shared" si="77"/>
        <v>34910600</v>
      </c>
      <c r="EP56" s="775">
        <v>35695204</v>
      </c>
      <c r="ER56" s="775"/>
      <c r="ET56" s="775">
        <f t="shared" si="78"/>
        <v>35695204</v>
      </c>
      <c r="EV56" s="775"/>
      <c r="EX56" s="775"/>
      <c r="EZ56" s="775">
        <f t="shared" si="79"/>
        <v>0</v>
      </c>
      <c r="FB56" s="775"/>
      <c r="FD56" s="775"/>
      <c r="FF56" s="775">
        <v>60552303</v>
      </c>
      <c r="FH56" s="775"/>
      <c r="FJ56" s="775">
        <f t="shared" si="80"/>
        <v>60552303</v>
      </c>
      <c r="FL56" s="775"/>
      <c r="FN56" s="775"/>
      <c r="FP56" s="775">
        <f t="shared" si="81"/>
        <v>0</v>
      </c>
      <c r="FR56" s="775">
        <v>440161</v>
      </c>
      <c r="FT56" s="775"/>
      <c r="FV56" s="775">
        <f t="shared" si="82"/>
        <v>440161</v>
      </c>
      <c r="FX56" s="775"/>
      <c r="FZ56" s="775"/>
      <c r="GB56" s="775">
        <f t="shared" si="83"/>
        <v>0</v>
      </c>
      <c r="GD56" s="775">
        <v>20514017</v>
      </c>
      <c r="GF56" s="775"/>
      <c r="GH56" s="775">
        <v>20514017</v>
      </c>
      <c r="GK56" s="761">
        <f t="shared" si="84"/>
        <v>132008348</v>
      </c>
      <c r="GL56" s="973">
        <f t="shared" si="27"/>
        <v>132008.348</v>
      </c>
      <c r="GM56" s="761">
        <f t="shared" si="85"/>
        <v>132005734</v>
      </c>
      <c r="GN56" s="973"/>
    </row>
    <row r="57" spans="1:196">
      <c r="A57" s="758" t="s">
        <v>245</v>
      </c>
      <c r="J57" s="758">
        <v>26</v>
      </c>
      <c r="K57" s="775"/>
      <c r="M57" s="775"/>
      <c r="O57" s="775">
        <f t="shared" si="58"/>
        <v>0</v>
      </c>
      <c r="Q57" s="776"/>
      <c r="S57" s="775"/>
      <c r="U57" s="775">
        <f t="shared" si="59"/>
        <v>0</v>
      </c>
      <c r="W57" s="775"/>
      <c r="Y57" s="775"/>
      <c r="AA57" s="775">
        <f t="shared" si="60"/>
        <v>0</v>
      </c>
      <c r="AC57" s="775"/>
      <c r="AE57" s="775"/>
      <c r="AG57" s="775">
        <f t="shared" si="61"/>
        <v>0</v>
      </c>
      <c r="AI57" s="775"/>
      <c r="AK57" s="970">
        <v>0</v>
      </c>
      <c r="AM57" s="775"/>
      <c r="AO57" s="775">
        <f t="shared" si="62"/>
        <v>0</v>
      </c>
      <c r="AQ57" s="775"/>
      <c r="AS57" s="775"/>
      <c r="AU57" s="775">
        <f t="shared" si="63"/>
        <v>0</v>
      </c>
      <c r="AW57" s="775">
        <v>5685</v>
      </c>
      <c r="AY57" s="775"/>
      <c r="BA57" s="775">
        <f t="shared" si="64"/>
        <v>5685</v>
      </c>
      <c r="BC57" s="775"/>
      <c r="BE57" s="775"/>
      <c r="BG57" s="775">
        <f t="shared" si="65"/>
        <v>0</v>
      </c>
      <c r="BI57" s="775">
        <v>200992</v>
      </c>
      <c r="BK57" s="775">
        <v>113143</v>
      </c>
      <c r="BM57" s="775">
        <f t="shared" si="66"/>
        <v>314135</v>
      </c>
      <c r="BO57" s="775"/>
      <c r="BQ57" s="970"/>
      <c r="BS57" s="775"/>
      <c r="BU57" s="775">
        <f t="shared" si="67"/>
        <v>0</v>
      </c>
      <c r="BW57" s="776">
        <v>13125132</v>
      </c>
      <c r="BZ57" s="970"/>
      <c r="CB57" s="775"/>
      <c r="CD57" s="970"/>
      <c r="CF57" s="775"/>
      <c r="CH57" s="775">
        <f t="shared" si="68"/>
        <v>13125132</v>
      </c>
      <c r="CJ57" s="775"/>
      <c r="CL57" s="775"/>
      <c r="CN57" s="775">
        <f t="shared" si="69"/>
        <v>0</v>
      </c>
      <c r="CP57" s="775"/>
      <c r="CR57" s="775"/>
      <c r="CT57" s="775">
        <f t="shared" si="70"/>
        <v>0</v>
      </c>
      <c r="CV57" s="775"/>
      <c r="CX57" s="775"/>
      <c r="CZ57" s="775">
        <f t="shared" si="71"/>
        <v>0</v>
      </c>
      <c r="DB57" s="775">
        <v>2708000</v>
      </c>
      <c r="DD57" s="775"/>
      <c r="DF57" s="775">
        <f t="shared" si="72"/>
        <v>2708000</v>
      </c>
      <c r="DH57" s="776"/>
      <c r="DJ57" s="775"/>
      <c r="DL57" s="775">
        <f t="shared" si="73"/>
        <v>0</v>
      </c>
      <c r="DN57" s="775"/>
      <c r="DP57" s="775"/>
      <c r="DR57" s="775">
        <f t="shared" si="74"/>
        <v>0</v>
      </c>
      <c r="DT57" s="775">
        <v>354229</v>
      </c>
      <c r="DV57" s="971">
        <v>0</v>
      </c>
      <c r="DX57" s="775"/>
      <c r="DZ57" s="775">
        <f t="shared" si="75"/>
        <v>354229</v>
      </c>
      <c r="EB57" s="776">
        <v>969348</v>
      </c>
      <c r="ED57" s="972"/>
      <c r="EF57" s="775"/>
      <c r="EH57" s="775">
        <f t="shared" si="76"/>
        <v>969348</v>
      </c>
      <c r="EJ57" s="776">
        <v>15890436</v>
      </c>
      <c r="EL57" s="775">
        <v>-15890436</v>
      </c>
      <c r="EN57" s="775">
        <f t="shared" si="77"/>
        <v>0</v>
      </c>
      <c r="EP57" s="775">
        <v>21996948</v>
      </c>
      <c r="ER57" s="775">
        <v>-234822</v>
      </c>
      <c r="ET57" s="775">
        <f t="shared" si="78"/>
        <v>21762126</v>
      </c>
      <c r="EV57" s="775">
        <v>50320532</v>
      </c>
      <c r="EX57" s="775">
        <f>26797680+54408000</f>
        <v>81205680</v>
      </c>
      <c r="EZ57" s="775">
        <f t="shared" si="79"/>
        <v>131526212</v>
      </c>
      <c r="FB57" s="775"/>
      <c r="FD57" s="775"/>
      <c r="FF57" s="775"/>
      <c r="FH57" s="775"/>
      <c r="FJ57" s="775">
        <f t="shared" si="80"/>
        <v>0</v>
      </c>
      <c r="FL57" s="775">
        <v>803952</v>
      </c>
      <c r="FN57" s="775"/>
      <c r="FP57" s="775">
        <f t="shared" si="81"/>
        <v>803952</v>
      </c>
      <c r="FR57" s="775">
        <v>1588</v>
      </c>
      <c r="FT57" s="775"/>
      <c r="FV57" s="775">
        <f t="shared" si="82"/>
        <v>1588</v>
      </c>
      <c r="FX57" s="775">
        <v>4427817</v>
      </c>
      <c r="FZ57" s="775"/>
      <c r="GB57" s="775">
        <f t="shared" si="83"/>
        <v>4427817</v>
      </c>
      <c r="GD57" s="775"/>
      <c r="GF57" s="775"/>
      <c r="GH57" s="775">
        <v>0</v>
      </c>
      <c r="GK57" s="761">
        <f t="shared" si="84"/>
        <v>175998224</v>
      </c>
      <c r="GL57" s="973">
        <f t="shared" si="27"/>
        <v>175998.22399999999</v>
      </c>
      <c r="GM57" s="761">
        <f t="shared" si="85"/>
        <v>171570407</v>
      </c>
      <c r="GN57" s="973"/>
    </row>
    <row r="58" spans="1:196">
      <c r="B58" s="766" t="s">
        <v>486</v>
      </c>
      <c r="J58" s="770">
        <v>27</v>
      </c>
      <c r="K58" s="777">
        <f>SUM(K52:K57)</f>
        <v>0</v>
      </c>
      <c r="M58" s="777">
        <f>SUM(M52:M57)</f>
        <v>0</v>
      </c>
      <c r="O58" s="777">
        <f>SUM(O52:O57)</f>
        <v>0</v>
      </c>
      <c r="Q58" s="777">
        <f>SUM(Q52:Q57)</f>
        <v>2232281</v>
      </c>
      <c r="S58" s="777">
        <f>SUM(S52:S57)</f>
        <v>0</v>
      </c>
      <c r="U58" s="777">
        <f>SUM(U52:U57)</f>
        <v>2232281</v>
      </c>
      <c r="W58" s="777">
        <f>SUM(W52:W57)</f>
        <v>0</v>
      </c>
      <c r="Y58" s="777">
        <f>SUM(Y52:Y57)</f>
        <v>0</v>
      </c>
      <c r="AA58" s="777">
        <f>SUM(AA52:AA57)</f>
        <v>0</v>
      </c>
      <c r="AC58" s="777">
        <f>SUM(AC52:AC57)</f>
        <v>0</v>
      </c>
      <c r="AE58" s="777">
        <f>SUM(AE52:AE57)</f>
        <v>0</v>
      </c>
      <c r="AG58" s="777">
        <f>SUM(AG52:AG57)</f>
        <v>0</v>
      </c>
      <c r="AI58" s="777">
        <f>SUM(AI52:AI57)</f>
        <v>214845</v>
      </c>
      <c r="AK58" s="974">
        <f>SUM(AK52:AK57)</f>
        <v>0</v>
      </c>
      <c r="AM58" s="777">
        <f>SUM(AM52:AM57)</f>
        <v>0</v>
      </c>
      <c r="AO58" s="777">
        <f>SUM(AO52:AO57)</f>
        <v>214845</v>
      </c>
      <c r="AQ58" s="777">
        <f>SUM(AQ52:AQ57)</f>
        <v>0</v>
      </c>
      <c r="AS58" s="777">
        <f>SUM(AS52:AS57)</f>
        <v>0</v>
      </c>
      <c r="AU58" s="777">
        <f>SUM(AU52:AU57)</f>
        <v>0</v>
      </c>
      <c r="AW58" s="777">
        <f>SUM(AW52:AW57)</f>
        <v>15080700</v>
      </c>
      <c r="AY58" s="777">
        <f>SUM(AY52:AY57)</f>
        <v>0</v>
      </c>
      <c r="BA58" s="777">
        <f>SUM(BA52:BA57)</f>
        <v>15080700</v>
      </c>
      <c r="BC58" s="777">
        <f>SUM(BC52:BC57)</f>
        <v>236244</v>
      </c>
      <c r="BE58" s="777">
        <f>SUM(BE52:BE57)</f>
        <v>0</v>
      </c>
      <c r="BG58" s="777">
        <f>SUM(BG52:BG57)</f>
        <v>236244</v>
      </c>
      <c r="BI58" s="777">
        <f>SUM(BI52:BI57)</f>
        <v>12697978</v>
      </c>
      <c r="BK58" s="777">
        <f>SUM(BK52:BK57)</f>
        <v>113143</v>
      </c>
      <c r="BM58" s="777">
        <f>SUM(BM52:BM57)</f>
        <v>12811121</v>
      </c>
      <c r="BO58" s="777">
        <f>SUM(BO52:BO57)</f>
        <v>3994996</v>
      </c>
      <c r="BQ58" s="974">
        <f>SUM(BQ52:BQ57)</f>
        <v>0</v>
      </c>
      <c r="BS58" s="777">
        <f>SUM(BS52:BS57)</f>
        <v>0</v>
      </c>
      <c r="BU58" s="777">
        <f>SUM(BU52:BU57)</f>
        <v>3994996</v>
      </c>
      <c r="BW58" s="777">
        <f>SUM(BW52:BW57)</f>
        <v>14042699</v>
      </c>
      <c r="BZ58" s="974">
        <f>SUM(BZ52:BZ57)</f>
        <v>0</v>
      </c>
      <c r="CB58" s="777">
        <f>SUM(CB52:CB57)</f>
        <v>0</v>
      </c>
      <c r="CD58" s="974">
        <f>SUM(CD52:CD57)</f>
        <v>0</v>
      </c>
      <c r="CF58" s="777">
        <f>SUM(CF52:CF57)</f>
        <v>0</v>
      </c>
      <c r="CH58" s="777">
        <f>SUM(CH52:CH57)</f>
        <v>14042699</v>
      </c>
      <c r="CJ58" s="777">
        <f>SUM(CJ52:CJ57)</f>
        <v>334565</v>
      </c>
      <c r="CL58" s="777">
        <f>SUM(CL52:CL57)</f>
        <v>0</v>
      </c>
      <c r="CN58" s="777">
        <f>SUM(CN52:CN57)</f>
        <v>334565</v>
      </c>
      <c r="CP58" s="777">
        <f>SUM(CP52:CP57)</f>
        <v>773793</v>
      </c>
      <c r="CR58" s="777">
        <f>SUM(CR52:CR57)</f>
        <v>0</v>
      </c>
      <c r="CT58" s="777">
        <f>SUM(CT52:CT57)</f>
        <v>773793</v>
      </c>
      <c r="CV58" s="777">
        <f>SUM(CV52:CV57)</f>
        <v>2614</v>
      </c>
      <c r="CX58" s="777">
        <f>SUM(CX52:CX57)</f>
        <v>0</v>
      </c>
      <c r="CZ58" s="777">
        <f>SUM(CZ52:CZ57)</f>
        <v>2614</v>
      </c>
      <c r="DB58" s="777">
        <f>SUM(DB52:DB57)</f>
        <v>62789000</v>
      </c>
      <c r="DD58" s="777">
        <f>SUM(DD52:DD57)</f>
        <v>0</v>
      </c>
      <c r="DF58" s="777">
        <f>SUM(DF52:DF57)</f>
        <v>62789000</v>
      </c>
      <c r="DH58" s="777">
        <f>SUM(DH52:DH57)</f>
        <v>8399</v>
      </c>
      <c r="DJ58" s="777">
        <f>SUM(DJ52:DJ57)</f>
        <v>0</v>
      </c>
      <c r="DL58" s="777">
        <f>SUM(DL52:DL57)</f>
        <v>8399</v>
      </c>
      <c r="DN58" s="777">
        <f>SUM(DN52:DN57)</f>
        <v>12911</v>
      </c>
      <c r="DP58" s="777">
        <f>SUM(DP52:DP57)</f>
        <v>0</v>
      </c>
      <c r="DR58" s="777">
        <f>SUM(DR52:DR57)</f>
        <v>12911</v>
      </c>
      <c r="DT58" s="777">
        <f>SUM(DT52:DT57)</f>
        <v>454641</v>
      </c>
      <c r="DV58" s="975">
        <f>SUM(DV52:DV57)</f>
        <v>0</v>
      </c>
      <c r="DX58" s="777">
        <f>SUM(DX52:DX57)</f>
        <v>0</v>
      </c>
      <c r="DZ58" s="777">
        <f>SUM(DZ52:DZ57)</f>
        <v>454641</v>
      </c>
      <c r="EB58" s="777">
        <f>SUM(EB52:EB57)</f>
        <v>2892976</v>
      </c>
      <c r="ED58" s="976">
        <f>SUM(ED52:ED57)</f>
        <v>0</v>
      </c>
      <c r="EF58" s="777">
        <f>SUM(EF52:EF57)</f>
        <v>0</v>
      </c>
      <c r="EH58" s="777">
        <f>SUM(EH52:EH57)</f>
        <v>2892976</v>
      </c>
      <c r="EJ58" s="777">
        <f>SUM(EJ52:EJ57)</f>
        <v>4444865069</v>
      </c>
      <c r="EL58" s="777">
        <f>SUM(EL52:EL57)</f>
        <v>-4409954469</v>
      </c>
      <c r="EN58" s="777">
        <f>SUM(EN52:EN57)</f>
        <v>34910600</v>
      </c>
      <c r="EP58" s="777">
        <f>SUM(EP52:EP57)</f>
        <v>7025773541</v>
      </c>
      <c r="ER58" s="777">
        <f>SUM(ER52:ER57)</f>
        <v>-6671769938</v>
      </c>
      <c r="ET58" s="777">
        <f>SUM(ET52:ET57)</f>
        <v>354003603</v>
      </c>
      <c r="EV58" s="777">
        <f>SUM(EV52:EV57)</f>
        <v>59285279</v>
      </c>
      <c r="EX58" s="777">
        <f>SUM(EX52:EX57)</f>
        <v>81205680</v>
      </c>
      <c r="EZ58" s="777">
        <f>SUM(EZ52:EZ57)</f>
        <v>140490959</v>
      </c>
      <c r="FB58" s="777">
        <f>SUM(FB52:FB57)</f>
        <v>0</v>
      </c>
      <c r="FD58" s="777">
        <f>SUM(FD52:FD57)</f>
        <v>0</v>
      </c>
      <c r="FF58" s="777">
        <f>SUM(FF52:FF57)</f>
        <v>3806730862</v>
      </c>
      <c r="FH58" s="777">
        <f>SUM(FH52:FH57)</f>
        <v>-3746178559</v>
      </c>
      <c r="FJ58" s="777">
        <f>SUM(FJ52:FJ57)</f>
        <v>60552303</v>
      </c>
      <c r="FL58" s="777">
        <f>SUM(FL52:FL57)</f>
        <v>2620874</v>
      </c>
      <c r="FN58" s="777">
        <f>SUM(FN52:FN57)</f>
        <v>0</v>
      </c>
      <c r="FP58" s="777">
        <f>SUM(FP52:FP57)</f>
        <v>2620874</v>
      </c>
      <c r="FR58" s="777">
        <f>SUM(FR52:FR57)</f>
        <v>17195780</v>
      </c>
      <c r="FT58" s="777">
        <f>SUM(FT52:FT57)</f>
        <v>0</v>
      </c>
      <c r="FV58" s="777">
        <f>SUM(FV52:FV57)</f>
        <v>17195780</v>
      </c>
      <c r="FX58" s="777">
        <f>SUM(FX52:FX57)</f>
        <v>5284131</v>
      </c>
      <c r="FZ58" s="777">
        <f>SUM(FZ52:FZ57)</f>
        <v>0</v>
      </c>
      <c r="GB58" s="777">
        <f>SUM(GB52:GB57)</f>
        <v>5284131</v>
      </c>
      <c r="GD58" s="777">
        <v>20514017</v>
      </c>
      <c r="GF58" s="777">
        <v>0</v>
      </c>
      <c r="GH58" s="777">
        <v>20514017</v>
      </c>
      <c r="GK58" s="761">
        <f t="shared" si="84"/>
        <v>730940035</v>
      </c>
      <c r="GL58" s="973">
        <f t="shared" si="27"/>
        <v>730940.03500000003</v>
      </c>
      <c r="GM58" s="761">
        <f t="shared" si="85"/>
        <v>725631980</v>
      </c>
      <c r="GN58" s="973"/>
    </row>
    <row r="59" spans="1:196">
      <c r="J59" s="758">
        <v>28</v>
      </c>
      <c r="BQ59" s="952"/>
      <c r="BW59" s="761"/>
      <c r="BZ59" s="952"/>
      <c r="CB59" s="761"/>
      <c r="CD59" s="952"/>
      <c r="CP59" s="761"/>
      <c r="CV59" s="761"/>
      <c r="DB59" s="761"/>
      <c r="DH59" s="761"/>
      <c r="DN59" s="761"/>
      <c r="DT59" s="761"/>
      <c r="DV59" s="977"/>
      <c r="EB59" s="761"/>
      <c r="ED59" s="978"/>
      <c r="EJ59" s="761"/>
      <c r="EP59" s="761"/>
      <c r="EV59" s="761"/>
      <c r="FB59" s="761"/>
      <c r="FD59" s="761"/>
      <c r="GL59" s="973">
        <f t="shared" si="27"/>
        <v>0</v>
      </c>
      <c r="GN59" s="973"/>
    </row>
    <row r="60" spans="1:196">
      <c r="A60" s="778" t="s">
        <v>587</v>
      </c>
      <c r="J60" s="770">
        <v>29</v>
      </c>
      <c r="K60" s="775"/>
      <c r="M60" s="775"/>
      <c r="O60" s="775">
        <f t="shared" ref="O60" si="86">K60+M60</f>
        <v>0</v>
      </c>
      <c r="Q60" s="775"/>
      <c r="S60" s="775"/>
      <c r="U60" s="775">
        <f t="shared" ref="U60" si="87">Q60+S60</f>
        <v>0</v>
      </c>
      <c r="W60" s="775"/>
      <c r="Y60" s="775"/>
      <c r="AA60" s="775">
        <f t="shared" ref="AA60" si="88">W60+Y60</f>
        <v>0</v>
      </c>
      <c r="AC60" s="775"/>
      <c r="AE60" s="775"/>
      <c r="AG60" s="775">
        <f t="shared" ref="AG60" si="89">AC60+AE60</f>
        <v>0</v>
      </c>
      <c r="AI60" s="776"/>
      <c r="AK60" s="970"/>
      <c r="AM60" s="775"/>
      <c r="AO60" s="775">
        <f t="shared" ref="AO60" si="90">AI60+AM60</f>
        <v>0</v>
      </c>
      <c r="AQ60" s="775"/>
      <c r="AS60" s="775"/>
      <c r="AU60" s="775">
        <f t="shared" ref="AU60" si="91">AQ60+AS60</f>
        <v>0</v>
      </c>
      <c r="AW60" s="775"/>
      <c r="AY60" s="775"/>
      <c r="BA60" s="775">
        <f t="shared" ref="BA60" si="92">AW60+AY60</f>
        <v>0</v>
      </c>
      <c r="BC60" s="775"/>
      <c r="BE60" s="775"/>
      <c r="BG60" s="775">
        <f t="shared" ref="BG60" si="93">BC60+BE60</f>
        <v>0</v>
      </c>
      <c r="BI60" s="775"/>
      <c r="BK60" s="775"/>
      <c r="BM60" s="775">
        <f t="shared" ref="BM60" si="94">BI60+BK60</f>
        <v>0</v>
      </c>
      <c r="BO60" s="775"/>
      <c r="BQ60" s="970"/>
      <c r="BS60" s="775"/>
      <c r="BU60" s="775">
        <f t="shared" ref="BU60" si="95">BO60+BS60</f>
        <v>0</v>
      </c>
      <c r="BW60" s="775"/>
      <c r="BZ60" s="970"/>
      <c r="CB60" s="775"/>
      <c r="CD60" s="970"/>
      <c r="CF60" s="775"/>
      <c r="CH60" s="775">
        <f t="shared" ref="CH60" si="96">BW60+CF60</f>
        <v>0</v>
      </c>
      <c r="CJ60" s="775"/>
      <c r="CL60" s="775"/>
      <c r="CN60" s="775">
        <f t="shared" ref="CN60" si="97">CJ60+CL60</f>
        <v>0</v>
      </c>
      <c r="CP60" s="775"/>
      <c r="CR60" s="775"/>
      <c r="CT60" s="775">
        <f t="shared" ref="CT60" si="98">CP60+CR60</f>
        <v>0</v>
      </c>
      <c r="CV60" s="775"/>
      <c r="CX60" s="775"/>
      <c r="CZ60" s="775">
        <f t="shared" ref="CZ60" si="99">CV60+CX60</f>
        <v>0</v>
      </c>
      <c r="DB60" s="775"/>
      <c r="DD60" s="775"/>
      <c r="DF60" s="775">
        <f t="shared" ref="DF60" si="100">DB60+DD60</f>
        <v>0</v>
      </c>
      <c r="DH60" s="775">
        <v>733325</v>
      </c>
      <c r="DJ60" s="775"/>
      <c r="DL60" s="775">
        <f t="shared" ref="DL60" si="101">DH60+DJ60</f>
        <v>733325</v>
      </c>
      <c r="DN60" s="775">
        <v>594106</v>
      </c>
      <c r="DP60" s="775"/>
      <c r="DR60" s="775">
        <f t="shared" ref="DR60" si="102">DN60+DP60</f>
        <v>594106</v>
      </c>
      <c r="DT60" s="775"/>
      <c r="DV60" s="971">
        <v>0</v>
      </c>
      <c r="DX60" s="775"/>
      <c r="DZ60" s="775">
        <f t="shared" ref="DZ60" si="103">DT60+DX60</f>
        <v>0</v>
      </c>
      <c r="EB60" s="775"/>
      <c r="ED60" s="972"/>
      <c r="EF60" s="775"/>
      <c r="EH60" s="775">
        <f t="shared" ref="EH60" si="104">EB60+EF60</f>
        <v>0</v>
      </c>
      <c r="EJ60" s="775"/>
      <c r="EL60" s="775"/>
      <c r="EN60" s="775">
        <f t="shared" ref="EN60" si="105">EJ60+EL60</f>
        <v>0</v>
      </c>
      <c r="EP60" s="775"/>
      <c r="ER60" s="775"/>
      <c r="ET60" s="775">
        <f t="shared" ref="ET60" si="106">EP60+ER60</f>
        <v>0</v>
      </c>
      <c r="EV60" s="775"/>
      <c r="EX60" s="775"/>
      <c r="EZ60" s="775">
        <f t="shared" ref="EZ60" si="107">EV60+EX60</f>
        <v>0</v>
      </c>
      <c r="FB60" s="775">
        <v>0</v>
      </c>
      <c r="FD60" s="775"/>
      <c r="FF60" s="775"/>
      <c r="FH60" s="775"/>
      <c r="FJ60" s="775">
        <f t="shared" ref="FJ60" si="108">FF60+FH60</f>
        <v>0</v>
      </c>
      <c r="FL60" s="775"/>
      <c r="FN60" s="775"/>
      <c r="FP60" s="775">
        <f t="shared" ref="FP60" si="109">FL60+FN60</f>
        <v>0</v>
      </c>
      <c r="FR60" s="775"/>
      <c r="FT60" s="775"/>
      <c r="FV60" s="775">
        <f t="shared" ref="FV60" si="110">FR60+FT60</f>
        <v>0</v>
      </c>
      <c r="FX60" s="775">
        <v>5205845</v>
      </c>
      <c r="FZ60" s="775"/>
      <c r="GB60" s="775">
        <f t="shared" ref="GB60" si="111">FX60+FZ60</f>
        <v>5205845</v>
      </c>
      <c r="GD60" s="775"/>
      <c r="GF60" s="775"/>
      <c r="GH60" s="775">
        <v>0</v>
      </c>
      <c r="GK60" s="761">
        <f t="shared" ref="GK60" si="112">O60+U60+AA60+AG60+AO60+AU60+BA60+BG60+BM60+BU60+CH60+CN60+CT60+CZ60+DF60+DL60+DR60+DZ60+EH60+EN60+ET60+EZ60+FJ60+FP60+FV60+GB60</f>
        <v>6533276</v>
      </c>
      <c r="GL60" s="973">
        <f t="shared" si="27"/>
        <v>6533.2759999999998</v>
      </c>
      <c r="GM60" s="761">
        <f>O60+U60+AA60+AG60+AO60+BA60+BG60+BM60+BU60+CH60+CN60+CT60+DF60+DZ60+EH60+EN60+ET60+EZ60+FJ60+FP60+FV60</f>
        <v>0</v>
      </c>
      <c r="GN60" s="973"/>
    </row>
    <row r="61" spans="1:196">
      <c r="J61" s="758">
        <v>30</v>
      </c>
      <c r="BQ61" s="952"/>
      <c r="BW61" s="761"/>
      <c r="BZ61" s="952"/>
      <c r="CB61" s="761"/>
      <c r="CD61" s="952"/>
      <c r="CP61" s="761"/>
      <c r="CV61" s="761"/>
      <c r="DB61" s="761"/>
      <c r="DH61" s="761"/>
      <c r="DN61" s="761"/>
      <c r="DT61" s="761"/>
      <c r="DV61" s="977"/>
      <c r="EB61" s="761"/>
      <c r="ED61" s="978"/>
      <c r="EJ61" s="761"/>
      <c r="EP61" s="761"/>
      <c r="EV61" s="761"/>
      <c r="FB61" s="761"/>
      <c r="FD61" s="761"/>
      <c r="GL61" s="973">
        <f t="shared" si="27"/>
        <v>0</v>
      </c>
      <c r="GN61" s="973"/>
    </row>
    <row r="62" spans="1:196">
      <c r="A62" s="778" t="s">
        <v>621</v>
      </c>
      <c r="J62" s="770">
        <v>31</v>
      </c>
      <c r="K62" s="775"/>
      <c r="M62" s="775"/>
      <c r="O62" s="775">
        <f t="shared" ref="O62" si="113">K62+M62</f>
        <v>0</v>
      </c>
      <c r="Q62" s="776"/>
      <c r="S62" s="775"/>
      <c r="U62" s="775">
        <f t="shared" ref="U62" si="114">Q62+S62</f>
        <v>0</v>
      </c>
      <c r="W62" s="775"/>
      <c r="Y62" s="775"/>
      <c r="AA62" s="775">
        <f t="shared" ref="AA62" si="115">W62+Y62</f>
        <v>0</v>
      </c>
      <c r="AC62" s="775"/>
      <c r="AE62" s="775"/>
      <c r="AG62" s="775">
        <f t="shared" ref="AG62" si="116">AC62+AE62</f>
        <v>0</v>
      </c>
      <c r="AI62" s="775"/>
      <c r="AK62" s="970">
        <v>0</v>
      </c>
      <c r="AM62" s="775"/>
      <c r="AO62" s="775">
        <f t="shared" ref="AO62" si="117">AI62+AM62</f>
        <v>0</v>
      </c>
      <c r="AQ62" s="775"/>
      <c r="AS62" s="775"/>
      <c r="AU62" s="775">
        <f t="shared" ref="AU62" si="118">AQ62+AS62</f>
        <v>0</v>
      </c>
      <c r="AW62" s="775"/>
      <c r="AY62" s="775"/>
      <c r="BA62" s="775">
        <f t="shared" ref="BA62" si="119">AW62+AY62</f>
        <v>0</v>
      </c>
      <c r="BC62" s="775"/>
      <c r="BE62" s="775"/>
      <c r="BG62" s="775">
        <f t="shared" ref="BG62" si="120">BC62+BE62</f>
        <v>0</v>
      </c>
      <c r="BI62" s="775">
        <v>626</v>
      </c>
      <c r="BK62" s="775">
        <v>-626</v>
      </c>
      <c r="BM62" s="775">
        <f t="shared" ref="BM62" si="121">BI62+BK62</f>
        <v>0</v>
      </c>
      <c r="BO62" s="775"/>
      <c r="BQ62" s="970"/>
      <c r="BS62" s="775"/>
      <c r="BU62" s="775">
        <f t="shared" ref="BU62" si="122">BO62+BS62</f>
        <v>0</v>
      </c>
      <c r="BW62" s="775"/>
      <c r="BZ62" s="970"/>
      <c r="CB62" s="775"/>
      <c r="CD62" s="970"/>
      <c r="CF62" s="775"/>
      <c r="CH62" s="775">
        <f t="shared" ref="CH62" si="123">BW62+CF62</f>
        <v>0</v>
      </c>
      <c r="CJ62" s="775"/>
      <c r="CL62" s="775"/>
      <c r="CN62" s="775">
        <f t="shared" ref="CN62" si="124">CJ62+CL62</f>
        <v>0</v>
      </c>
      <c r="CP62" s="775"/>
      <c r="CR62" s="775"/>
      <c r="CT62" s="775">
        <f t="shared" ref="CT62" si="125">CP62+CR62</f>
        <v>0</v>
      </c>
      <c r="CV62" s="775"/>
      <c r="CX62" s="775"/>
      <c r="CZ62" s="775">
        <f t="shared" ref="CZ62" si="126">CV62+CX62</f>
        <v>0</v>
      </c>
      <c r="DB62" s="775"/>
      <c r="DD62" s="775"/>
      <c r="DF62" s="775">
        <f t="shared" ref="DF62" si="127">DB62+DD62</f>
        <v>0</v>
      </c>
      <c r="DH62" s="775"/>
      <c r="DJ62" s="775"/>
      <c r="DL62" s="775">
        <f t="shared" ref="DL62" si="128">DH62+DJ62</f>
        <v>0</v>
      </c>
      <c r="DN62" s="775"/>
      <c r="DP62" s="775"/>
      <c r="DR62" s="775">
        <f t="shared" ref="DR62" si="129">DN62+DP62</f>
        <v>0</v>
      </c>
      <c r="DT62" s="775"/>
      <c r="DV62" s="971">
        <v>0</v>
      </c>
      <c r="DX62" s="775"/>
      <c r="DZ62" s="775">
        <f t="shared" ref="DZ62" si="130">DT62+DX62</f>
        <v>0</v>
      </c>
      <c r="EB62" s="775"/>
      <c r="ED62" s="972">
        <v>0</v>
      </c>
      <c r="EF62" s="775"/>
      <c r="EH62" s="775">
        <f t="shared" ref="EH62" si="131">EB62+EF62</f>
        <v>0</v>
      </c>
      <c r="EJ62" s="776"/>
      <c r="EL62" s="775"/>
      <c r="EN62" s="775">
        <f t="shared" ref="EN62" si="132">EJ62+EL62</f>
        <v>0</v>
      </c>
      <c r="EP62" s="775"/>
      <c r="ER62" s="775"/>
      <c r="ET62" s="775">
        <f t="shared" ref="ET62" si="133">EP62+ER62</f>
        <v>0</v>
      </c>
      <c r="EV62" s="775">
        <v>38414921</v>
      </c>
      <c r="EX62" s="775">
        <v>-26797680</v>
      </c>
      <c r="EZ62" s="775">
        <f t="shared" ref="EZ62" si="134">EV62+EX62</f>
        <v>11617241</v>
      </c>
      <c r="FB62" s="775">
        <v>0</v>
      </c>
      <c r="FD62" s="775"/>
      <c r="FF62" s="775">
        <v>191765000</v>
      </c>
      <c r="FH62" s="775"/>
      <c r="FJ62" s="775">
        <f t="shared" ref="FJ62" si="135">FF62+FH62</f>
        <v>191765000</v>
      </c>
      <c r="FL62" s="775"/>
      <c r="FN62" s="775"/>
      <c r="FP62" s="775">
        <f t="shared" ref="FP62" si="136">FL62+FN62</f>
        <v>0</v>
      </c>
      <c r="FR62" s="775">
        <v>28454416</v>
      </c>
      <c r="FT62" s="775"/>
      <c r="FV62" s="775">
        <f t="shared" ref="FV62" si="137">FR62+FT62</f>
        <v>28454416</v>
      </c>
      <c r="FX62" s="775"/>
      <c r="FZ62" s="775"/>
      <c r="GB62" s="775">
        <f t="shared" ref="GB62" si="138">FX62+FZ62</f>
        <v>0</v>
      </c>
      <c r="GD62" s="775"/>
      <c r="GF62" s="775"/>
      <c r="GH62" s="775">
        <v>0</v>
      </c>
      <c r="GK62" s="761">
        <f t="shared" ref="GK62" si="139">O62+U62+AA62+AG62+AO62+AU62+BA62+BG62+BM62+BU62+CH62+CN62+CT62+CZ62+DF62+DL62+DR62+DZ62+EH62+EN62+ET62+EZ62+FJ62+FP62+FV62+GB62</f>
        <v>231836657</v>
      </c>
      <c r="GL62" s="973">
        <f t="shared" si="27"/>
        <v>231836.65700000001</v>
      </c>
      <c r="GM62" s="761">
        <f>O62+U62+AA62+AG62+AO62+BA62+BG62+BM62+BU62+CH62+CN62+CT62+DF62+DZ62+EH62+EN62+ET62+EZ62+FJ62+FP62+FV62</f>
        <v>231836657</v>
      </c>
      <c r="GN62" s="973"/>
    </row>
    <row r="63" spans="1:196">
      <c r="J63" s="758">
        <v>32</v>
      </c>
      <c r="BQ63" s="952"/>
      <c r="BW63" s="761"/>
      <c r="BZ63" s="952"/>
      <c r="CB63" s="761"/>
      <c r="CD63" s="952"/>
      <c r="CP63" s="761"/>
      <c r="CV63" s="761"/>
      <c r="DB63" s="761"/>
      <c r="DH63" s="761"/>
      <c r="DN63" s="761"/>
      <c r="DT63" s="761"/>
      <c r="DV63" s="977"/>
      <c r="EB63" s="761"/>
      <c r="ED63" s="978"/>
      <c r="EJ63" s="761"/>
      <c r="EP63" s="761"/>
      <c r="EV63" s="761"/>
      <c r="FB63" s="761"/>
      <c r="FD63" s="761"/>
      <c r="GL63" s="973">
        <f t="shared" si="27"/>
        <v>0</v>
      </c>
      <c r="GN63" s="973"/>
    </row>
    <row r="64" spans="1:196">
      <c r="A64" s="778" t="s">
        <v>620</v>
      </c>
      <c r="J64" s="770">
        <v>33</v>
      </c>
      <c r="K64" s="775"/>
      <c r="M64" s="775"/>
      <c r="O64" s="775">
        <f t="shared" ref="O64" si="140">K64+M64</f>
        <v>0</v>
      </c>
      <c r="Q64" s="775"/>
      <c r="S64" s="775"/>
      <c r="U64" s="775">
        <f t="shared" ref="U64" si="141">Q64+S64</f>
        <v>0</v>
      </c>
      <c r="W64" s="775"/>
      <c r="Y64" s="775"/>
      <c r="AA64" s="775">
        <f t="shared" ref="AA64" si="142">W64+Y64</f>
        <v>0</v>
      </c>
      <c r="AC64" s="775"/>
      <c r="AE64" s="775"/>
      <c r="AG64" s="775">
        <f t="shared" ref="AG64" si="143">AC64+AE64</f>
        <v>0</v>
      </c>
      <c r="AI64" s="775"/>
      <c r="AK64" s="970">
        <v>0</v>
      </c>
      <c r="AM64" s="775"/>
      <c r="AO64" s="775">
        <f t="shared" ref="AO64" si="144">AI64+AM64</f>
        <v>0</v>
      </c>
      <c r="AQ64" s="775"/>
      <c r="AS64" s="775"/>
      <c r="AU64" s="775">
        <f t="shared" ref="AU64" si="145">AQ64+AS64</f>
        <v>0</v>
      </c>
      <c r="AW64" s="775"/>
      <c r="AY64" s="775"/>
      <c r="BA64" s="775">
        <f t="shared" ref="BA64" si="146">AW64+AY64</f>
        <v>0</v>
      </c>
      <c r="BC64" s="775"/>
      <c r="BE64" s="775"/>
      <c r="BG64" s="775">
        <f t="shared" ref="BG64" si="147">BC64+BE64</f>
        <v>0</v>
      </c>
      <c r="BI64" s="775">
        <v>112517</v>
      </c>
      <c r="BK64" s="775">
        <v>-112517</v>
      </c>
      <c r="BM64" s="775">
        <f t="shared" ref="BM64" si="148">BI64+BK64</f>
        <v>0</v>
      </c>
      <c r="BO64" s="775"/>
      <c r="BQ64" s="970"/>
      <c r="BS64" s="775"/>
      <c r="BU64" s="775">
        <f t="shared" ref="BU64" si="149">BO64+BS64</f>
        <v>0</v>
      </c>
      <c r="BW64" s="775"/>
      <c r="BZ64" s="970"/>
      <c r="CB64" s="775"/>
      <c r="CD64" s="970"/>
      <c r="CF64" s="775"/>
      <c r="CH64" s="775">
        <f t="shared" ref="CH64" si="150">BW64+CF64</f>
        <v>0</v>
      </c>
      <c r="CJ64" s="775"/>
      <c r="CL64" s="775"/>
      <c r="CN64" s="775">
        <f t="shared" ref="CN64" si="151">CJ64+CL64</f>
        <v>0</v>
      </c>
      <c r="CP64" s="775"/>
      <c r="CR64" s="775"/>
      <c r="CT64" s="775">
        <f t="shared" ref="CT64" si="152">CP64+CR64</f>
        <v>0</v>
      </c>
      <c r="CV64" s="775"/>
      <c r="CX64" s="775"/>
      <c r="CZ64" s="775">
        <f t="shared" ref="CZ64" si="153">CV64+CX64</f>
        <v>0</v>
      </c>
      <c r="DB64" s="775"/>
      <c r="DD64" s="775"/>
      <c r="DF64" s="775">
        <f t="shared" ref="DF64" si="154">DB64+DD64</f>
        <v>0</v>
      </c>
      <c r="DH64" s="775"/>
      <c r="DJ64" s="775"/>
      <c r="DL64" s="775">
        <f t="shared" ref="DL64" si="155">DH64+DJ64</f>
        <v>0</v>
      </c>
      <c r="DN64" s="775"/>
      <c r="DP64" s="775"/>
      <c r="DR64" s="775">
        <f t="shared" ref="DR64" si="156">DN64+DP64</f>
        <v>0</v>
      </c>
      <c r="DT64" s="775"/>
      <c r="DV64" s="971">
        <v>0</v>
      </c>
      <c r="DX64" s="775"/>
      <c r="DZ64" s="775">
        <f t="shared" ref="DZ64" si="157">DT64+DX64</f>
        <v>0</v>
      </c>
      <c r="EB64" s="775"/>
      <c r="ED64" s="972">
        <v>0</v>
      </c>
      <c r="EF64" s="775"/>
      <c r="EH64" s="775">
        <f t="shared" ref="EH64" si="158">EB64+EF64</f>
        <v>0</v>
      </c>
      <c r="EJ64" s="775"/>
      <c r="EL64" s="775"/>
      <c r="EN64" s="775">
        <f t="shared" ref="EN64" si="159">EJ64+EL64</f>
        <v>0</v>
      </c>
      <c r="EP64" s="775"/>
      <c r="ER64" s="775"/>
      <c r="ET64" s="775">
        <f t="shared" ref="ET64" si="160">EP64+ER64</f>
        <v>0</v>
      </c>
      <c r="EV64" s="775"/>
      <c r="EX64" s="775"/>
      <c r="EZ64" s="775">
        <f t="shared" ref="EZ64" si="161">EV64+EX64</f>
        <v>0</v>
      </c>
      <c r="FB64" s="775">
        <v>0</v>
      </c>
      <c r="FD64" s="775"/>
      <c r="FF64" s="775"/>
      <c r="FH64" s="775"/>
      <c r="FJ64" s="775">
        <f t="shared" ref="FJ64" si="162">FF64+FH64</f>
        <v>0</v>
      </c>
      <c r="FL64" s="775"/>
      <c r="FN64" s="775"/>
      <c r="FP64" s="775">
        <f t="shared" ref="FP64" si="163">FL64+FN64</f>
        <v>0</v>
      </c>
      <c r="FR64" s="775"/>
      <c r="FT64" s="775"/>
      <c r="FV64" s="775">
        <f t="shared" ref="FV64" si="164">FR64+FT64</f>
        <v>0</v>
      </c>
      <c r="FX64" s="775"/>
      <c r="FZ64" s="775"/>
      <c r="GB64" s="775">
        <f t="shared" ref="GB64" si="165">FX64+FZ64</f>
        <v>0</v>
      </c>
      <c r="GD64" s="775">
        <v>1467225000</v>
      </c>
      <c r="GF64" s="775"/>
      <c r="GH64" s="775">
        <v>1467225000</v>
      </c>
      <c r="GK64" s="761">
        <f t="shared" ref="GK64" si="166">O64+U64+AA64+AG64+AO64+AU64+BA64+BG64+BM64+BU64+CH64+CN64+CT64+CZ64+DF64+DL64+DR64+DZ64+EH64+EN64+ET64+EZ64+FJ64+FP64+FV64+GB64</f>
        <v>0</v>
      </c>
      <c r="GL64" s="973">
        <f t="shared" si="27"/>
        <v>0</v>
      </c>
      <c r="GM64" s="761">
        <f>O64+U64+AA64+AG64+AO64+BA64+BG64+BM64+BU64+CH64+CN64+CT64+DF64+DZ64+EH64+EN64+ET64+EZ64+FJ64+FP64+FV64</f>
        <v>0</v>
      </c>
      <c r="GN64" s="973"/>
    </row>
    <row r="65" spans="1:196">
      <c r="J65" s="758">
        <v>34</v>
      </c>
      <c r="BQ65" s="952"/>
      <c r="BW65" s="761"/>
      <c r="BZ65" s="952"/>
      <c r="CB65" s="761"/>
      <c r="CD65" s="952"/>
      <c r="CP65" s="761"/>
      <c r="CV65" s="761"/>
      <c r="DB65" s="761"/>
      <c r="DH65" s="761"/>
      <c r="DN65" s="761"/>
      <c r="DT65" s="761"/>
      <c r="DV65" s="977"/>
      <c r="EB65" s="761"/>
      <c r="ED65" s="978"/>
      <c r="EJ65" s="761"/>
      <c r="EP65" s="761"/>
      <c r="EV65" s="761"/>
      <c r="FB65" s="761"/>
      <c r="FD65" s="761"/>
      <c r="GL65" s="973">
        <f t="shared" si="27"/>
        <v>0</v>
      </c>
      <c r="GN65" s="973"/>
    </row>
    <row r="66" spans="1:196">
      <c r="A66" s="766" t="s">
        <v>233</v>
      </c>
      <c r="J66" s="770">
        <v>35</v>
      </c>
      <c r="K66" s="775"/>
      <c r="M66" s="775"/>
      <c r="O66" s="775">
        <f t="shared" ref="O66" si="167">K66+M66</f>
        <v>0</v>
      </c>
      <c r="Q66" s="775"/>
      <c r="S66" s="775"/>
      <c r="U66" s="775">
        <f t="shared" ref="U66" si="168">Q66+S66</f>
        <v>0</v>
      </c>
      <c r="W66" s="775"/>
      <c r="Y66" s="775"/>
      <c r="AA66" s="775">
        <f t="shared" ref="AA66" si="169">W66+Y66</f>
        <v>0</v>
      </c>
      <c r="AC66" s="775"/>
      <c r="AE66" s="775"/>
      <c r="AG66" s="775">
        <f t="shared" ref="AG66" si="170">AC66+AE66</f>
        <v>0</v>
      </c>
      <c r="AI66" s="775"/>
      <c r="AK66" s="970">
        <v>0</v>
      </c>
      <c r="AM66" s="775"/>
      <c r="AO66" s="775">
        <f t="shared" ref="AO66" si="171">AI66+AM66</f>
        <v>0</v>
      </c>
      <c r="AQ66" s="775"/>
      <c r="AS66" s="775"/>
      <c r="AU66" s="775">
        <f t="shared" ref="AU66" si="172">AQ66+AS66</f>
        <v>0</v>
      </c>
      <c r="AW66" s="775"/>
      <c r="AY66" s="775"/>
      <c r="BA66" s="775">
        <f t="shared" ref="BA66" si="173">AW66+AY66</f>
        <v>0</v>
      </c>
      <c r="BC66" s="775"/>
      <c r="BE66" s="775"/>
      <c r="BG66" s="775">
        <f t="shared" ref="BG66" si="174">BC66+BE66</f>
        <v>0</v>
      </c>
      <c r="BI66" s="775"/>
      <c r="BK66" s="775"/>
      <c r="BM66" s="775">
        <f t="shared" ref="BM66" si="175">BI66+BK66</f>
        <v>0</v>
      </c>
      <c r="BO66" s="775"/>
      <c r="BQ66" s="970"/>
      <c r="BS66" s="775"/>
      <c r="BU66" s="775">
        <f t="shared" ref="BU66:BU68" si="176">BO66+BS66</f>
        <v>0</v>
      </c>
      <c r="BW66" s="775"/>
      <c r="BZ66" s="970"/>
      <c r="CB66" s="775"/>
      <c r="CD66" s="970"/>
      <c r="CF66" s="775"/>
      <c r="CH66" s="775">
        <f t="shared" ref="CH66" si="177">BW66+CF66</f>
        <v>0</v>
      </c>
      <c r="CJ66" s="775"/>
      <c r="CL66" s="775"/>
      <c r="CN66" s="775">
        <f t="shared" ref="CN66" si="178">CJ66+CL66</f>
        <v>0</v>
      </c>
      <c r="CP66" s="775"/>
      <c r="CR66" s="775"/>
      <c r="CT66" s="775">
        <f t="shared" ref="CT66" si="179">CP66+CR66</f>
        <v>0</v>
      </c>
      <c r="CV66" s="775">
        <v>5610</v>
      </c>
      <c r="CX66" s="775"/>
      <c r="CZ66" s="775">
        <f t="shared" ref="CZ66" si="180">CV66+CX66</f>
        <v>5610</v>
      </c>
      <c r="DB66" s="775">
        <v>26005000</v>
      </c>
      <c r="DD66" s="775"/>
      <c r="DF66" s="775">
        <f t="shared" ref="DF66" si="181">DB66+DD66</f>
        <v>26005000</v>
      </c>
      <c r="DH66" s="775">
        <v>58004</v>
      </c>
      <c r="DJ66" s="775"/>
      <c r="DL66" s="775">
        <f t="shared" ref="DL66" si="182">DH66+DJ66</f>
        <v>58004</v>
      </c>
      <c r="DN66" s="775"/>
      <c r="DP66" s="775"/>
      <c r="DR66" s="775">
        <f t="shared" ref="DR66" si="183">DN66+DP66</f>
        <v>0</v>
      </c>
      <c r="DT66" s="775"/>
      <c r="DV66" s="971">
        <v>0</v>
      </c>
      <c r="DX66" s="775"/>
      <c r="DZ66" s="775">
        <f t="shared" ref="DZ66" si="184">DT66+DX66</f>
        <v>0</v>
      </c>
      <c r="EB66" s="775"/>
      <c r="ED66" s="972"/>
      <c r="EF66" s="775"/>
      <c r="EH66" s="775">
        <f t="shared" ref="EH66" si="185">EB66+EF66</f>
        <v>0</v>
      </c>
      <c r="EJ66" s="775"/>
      <c r="EL66" s="775"/>
      <c r="EN66" s="775">
        <f t="shared" ref="EN66" si="186">EJ66+EL66</f>
        <v>0</v>
      </c>
      <c r="EP66" s="775"/>
      <c r="ER66" s="775"/>
      <c r="ET66" s="775">
        <f t="shared" ref="ET66" si="187">EP66+ER66</f>
        <v>0</v>
      </c>
      <c r="EV66" s="775">
        <v>24951688</v>
      </c>
      <c r="EX66" s="775"/>
      <c r="EZ66" s="775">
        <f t="shared" ref="EZ66" si="188">EV66+EX66</f>
        <v>24951688</v>
      </c>
      <c r="FB66" s="775"/>
      <c r="FD66" s="775"/>
      <c r="FF66" s="775"/>
      <c r="FH66" s="775"/>
      <c r="FJ66" s="775">
        <f t="shared" ref="FJ66" si="189">FF66+FH66</f>
        <v>0</v>
      </c>
      <c r="FL66" s="775"/>
      <c r="FN66" s="775"/>
      <c r="FP66" s="775">
        <f t="shared" ref="FP66" si="190">FL66+FN66</f>
        <v>0</v>
      </c>
      <c r="FR66" s="775"/>
      <c r="FT66" s="775"/>
      <c r="FV66" s="775">
        <f t="shared" ref="FV66" si="191">FR66+FT66</f>
        <v>0</v>
      </c>
      <c r="FX66" s="775"/>
      <c r="FZ66" s="775"/>
      <c r="GB66" s="775">
        <f t="shared" ref="GB66" si="192">FX66+FZ66</f>
        <v>0</v>
      </c>
      <c r="GD66" s="775"/>
      <c r="GF66" s="775"/>
      <c r="GH66" s="775">
        <v>0</v>
      </c>
      <c r="GK66" s="761">
        <f t="shared" ref="GK66" si="193">O66+U66+AA66+AG66+AO66+AU66+BA66+BG66+BM66+BU66+CH66+CN66+CT66+CZ66+DF66+DL66+DR66+DZ66+EH66+EN66+ET66+EZ66+FJ66+FP66+FV66+GB66</f>
        <v>51020302</v>
      </c>
      <c r="GL66" s="973">
        <f t="shared" si="27"/>
        <v>51020.302000000003</v>
      </c>
      <c r="GM66" s="761">
        <f>O66+U66+AA66+AG66+AO66+BA66+BG66+BM66+BU66+CH66+CN66+CT66+DF66+DZ66+EH66+EN66+ET66+EZ66+FJ66+FP66+FV66</f>
        <v>50956688</v>
      </c>
      <c r="GN66" s="973"/>
    </row>
    <row r="67" spans="1:196">
      <c r="J67" s="758">
        <v>36</v>
      </c>
      <c r="BQ67" s="952"/>
      <c r="BW67" s="761"/>
      <c r="BZ67" s="952"/>
      <c r="CB67" s="761"/>
      <c r="CD67" s="952"/>
      <c r="CP67" s="761"/>
      <c r="CV67" s="761"/>
      <c r="DB67" s="761"/>
      <c r="DH67" s="761"/>
      <c r="DN67" s="761"/>
      <c r="DT67" s="761"/>
      <c r="DV67" s="977"/>
      <c r="EB67" s="761"/>
      <c r="ED67" s="978"/>
      <c r="EJ67" s="761"/>
      <c r="EP67" s="761"/>
      <c r="EV67" s="761"/>
      <c r="FB67" s="761"/>
      <c r="FD67" s="761"/>
      <c r="GL67" s="973">
        <f t="shared" si="27"/>
        <v>0</v>
      </c>
      <c r="GN67" s="973"/>
    </row>
    <row r="68" spans="1:196">
      <c r="A68" s="766" t="s">
        <v>234</v>
      </c>
      <c r="J68" s="770">
        <v>37</v>
      </c>
      <c r="K68" s="775"/>
      <c r="M68" s="775"/>
      <c r="O68" s="775">
        <f t="shared" ref="O68" si="194">K68+M68</f>
        <v>0</v>
      </c>
      <c r="Q68" s="775">
        <v>75807</v>
      </c>
      <c r="S68" s="775"/>
      <c r="U68" s="775">
        <f t="shared" ref="U68" si="195">Q68+S68</f>
        <v>75807</v>
      </c>
      <c r="W68" s="775"/>
      <c r="Y68" s="775"/>
      <c r="AA68" s="775">
        <f t="shared" ref="AA68" si="196">W68+Y68</f>
        <v>0</v>
      </c>
      <c r="AC68" s="775"/>
      <c r="AE68" s="775"/>
      <c r="AG68" s="775">
        <f t="shared" ref="AG68" si="197">AC68+AE68</f>
        <v>0</v>
      </c>
      <c r="AI68" s="775">
        <v>2406092</v>
      </c>
      <c r="AK68" s="970">
        <v>0</v>
      </c>
      <c r="AM68" s="775"/>
      <c r="AO68" s="775">
        <f t="shared" ref="AO68" si="198">AI68+AM68</f>
        <v>2406092</v>
      </c>
      <c r="AQ68" s="775"/>
      <c r="AS68" s="775"/>
      <c r="AU68" s="775">
        <f t="shared" ref="AU68" si="199">AQ68+AS68</f>
        <v>0</v>
      </c>
      <c r="AW68" s="775"/>
      <c r="AY68" s="775"/>
      <c r="BA68" s="775">
        <f t="shared" ref="BA68" si="200">AW68+AY68</f>
        <v>0</v>
      </c>
      <c r="BC68" s="775">
        <v>197079</v>
      </c>
      <c r="BE68" s="775"/>
      <c r="BG68" s="775">
        <f t="shared" ref="BG68" si="201">BC68+BE68</f>
        <v>197079</v>
      </c>
      <c r="BI68" s="775">
        <v>6061</v>
      </c>
      <c r="BK68" s="775"/>
      <c r="BM68" s="775">
        <f t="shared" ref="BM68" si="202">BI68+BK68</f>
        <v>6061</v>
      </c>
      <c r="BO68" s="775"/>
      <c r="BQ68" s="970"/>
      <c r="BS68" s="775"/>
      <c r="BU68" s="775">
        <f t="shared" si="176"/>
        <v>0</v>
      </c>
      <c r="BW68" s="775">
        <v>182801</v>
      </c>
      <c r="BZ68" s="970"/>
      <c r="CB68" s="775"/>
      <c r="CD68" s="970"/>
      <c r="CF68" s="775"/>
      <c r="CH68" s="775">
        <f t="shared" ref="CH68" si="203">BW68+CF68</f>
        <v>182801</v>
      </c>
      <c r="CJ68" s="775"/>
      <c r="CL68" s="775"/>
      <c r="CN68" s="775">
        <f t="shared" ref="CN68" si="204">CJ68+CL68</f>
        <v>0</v>
      </c>
      <c r="CP68" s="775"/>
      <c r="CR68" s="775"/>
      <c r="CT68" s="775">
        <f t="shared" ref="CT68" si="205">CP68+CR68</f>
        <v>0</v>
      </c>
      <c r="CV68" s="775"/>
      <c r="CX68" s="775"/>
      <c r="CZ68" s="775">
        <f t="shared" ref="CZ68" si="206">CV68+CX68</f>
        <v>0</v>
      </c>
      <c r="DB68" s="775"/>
      <c r="DD68" s="775"/>
      <c r="DF68" s="775">
        <f t="shared" ref="DF68" si="207">DB68+DD68</f>
        <v>0</v>
      </c>
      <c r="DH68" s="775">
        <v>10137</v>
      </c>
      <c r="DJ68" s="775"/>
      <c r="DL68" s="775">
        <f t="shared" ref="DL68" si="208">DH68+DJ68</f>
        <v>10137</v>
      </c>
      <c r="DN68" s="775">
        <v>17623</v>
      </c>
      <c r="DP68" s="775"/>
      <c r="DR68" s="775">
        <f t="shared" ref="DR68" si="209">DN68+DP68</f>
        <v>17623</v>
      </c>
      <c r="DT68" s="775">
        <v>13707</v>
      </c>
      <c r="DV68" s="971">
        <v>0</v>
      </c>
      <c r="DX68" s="775"/>
      <c r="DZ68" s="775">
        <f t="shared" ref="DZ68" si="210">DT68+DX68</f>
        <v>13707</v>
      </c>
      <c r="EB68" s="776">
        <v>209719</v>
      </c>
      <c r="ED68" s="972"/>
      <c r="EF68" s="775"/>
      <c r="EH68" s="775">
        <f t="shared" ref="EH68" si="211">EB68+EF68</f>
        <v>209719</v>
      </c>
      <c r="EJ68" s="776">
        <v>74392</v>
      </c>
      <c r="EL68" s="775"/>
      <c r="EN68" s="775">
        <f t="shared" ref="EN68" si="212">EJ68+EL68</f>
        <v>74392</v>
      </c>
      <c r="EP68" s="775">
        <v>84413</v>
      </c>
      <c r="ER68" s="775"/>
      <c r="ET68" s="775">
        <f t="shared" ref="ET68" si="213">EP68+ER68</f>
        <v>84413</v>
      </c>
      <c r="EV68" s="775">
        <v>4609926</v>
      </c>
      <c r="EX68" s="775"/>
      <c r="EZ68" s="775">
        <f t="shared" ref="EZ68" si="214">EV68+EX68</f>
        <v>4609926</v>
      </c>
      <c r="FB68" s="775"/>
      <c r="FD68" s="775"/>
      <c r="FF68" s="775"/>
      <c r="FH68" s="775"/>
      <c r="FJ68" s="775">
        <f t="shared" ref="FJ68" si="215">FF68+FH68</f>
        <v>0</v>
      </c>
      <c r="FL68" s="775">
        <v>243607</v>
      </c>
      <c r="FN68" s="775"/>
      <c r="FP68" s="775">
        <f t="shared" ref="FP68" si="216">FL68+FN68</f>
        <v>243607</v>
      </c>
      <c r="FR68" s="775">
        <v>24133076</v>
      </c>
      <c r="FT68" s="775">
        <v>1054682</v>
      </c>
      <c r="FV68" s="775">
        <f t="shared" ref="FV68" si="217">FR68+FT68</f>
        <v>25187758</v>
      </c>
      <c r="FX68" s="775">
        <v>30463</v>
      </c>
      <c r="FZ68" s="775"/>
      <c r="GB68" s="775">
        <f t="shared" ref="GB68" si="218">FX68+FZ68</f>
        <v>30463</v>
      </c>
      <c r="GD68" s="775"/>
      <c r="GF68" s="775"/>
      <c r="GH68" s="775">
        <v>0</v>
      </c>
      <c r="GK68" s="761">
        <f t="shared" ref="GK68" si="219">O68+U68+AA68+AG68+AO68+AU68+BA68+BG68+BM68+BU68+CH68+CN68+CT68+CZ68+DF68+DL68+DR68+DZ68+EH68+EN68+ET68+EZ68+FJ68+FP68+FV68+GB68</f>
        <v>33349585</v>
      </c>
      <c r="GL68" s="973">
        <f t="shared" si="27"/>
        <v>33349.584999999999</v>
      </c>
      <c r="GM68" s="761">
        <f>O68+U68+AA68+AG68+AO68+BA68+BG68+BM68+BU68+CH68+CN68+CT68+DF68+DZ68+EH68+EN68+ET68+EZ68+FJ68+FP68+FV68</f>
        <v>33291362</v>
      </c>
      <c r="GN68" s="973"/>
    </row>
    <row r="69" spans="1:196">
      <c r="J69" s="758">
        <v>38</v>
      </c>
      <c r="BQ69" s="952"/>
      <c r="BW69" s="761"/>
      <c r="BZ69" s="952"/>
      <c r="CB69" s="761"/>
      <c r="CD69" s="952"/>
      <c r="CP69" s="761"/>
      <c r="CV69" s="761"/>
      <c r="DB69" s="761"/>
      <c r="DH69" s="761"/>
      <c r="DN69" s="761"/>
      <c r="DT69" s="761"/>
      <c r="DV69" s="977"/>
      <c r="EB69" s="761"/>
      <c r="ED69" s="978"/>
      <c r="EJ69" s="761"/>
      <c r="EP69" s="761"/>
      <c r="EV69" s="761"/>
      <c r="FB69" s="761"/>
      <c r="FD69" s="761"/>
      <c r="GL69" s="973">
        <f t="shared" si="27"/>
        <v>0</v>
      </c>
      <c r="GN69" s="973"/>
    </row>
    <row r="70" spans="1:196" hidden="1">
      <c r="A70" s="766"/>
      <c r="J70" s="758">
        <v>39</v>
      </c>
      <c r="BQ70" s="952"/>
      <c r="BW70" s="761"/>
      <c r="BZ70" s="952"/>
      <c r="CB70" s="761"/>
      <c r="CD70" s="952"/>
      <c r="CP70" s="761"/>
      <c r="CV70" s="761"/>
      <c r="DB70" s="761"/>
      <c r="DH70" s="761"/>
      <c r="DN70" s="761"/>
      <c r="DT70" s="761"/>
      <c r="DV70" s="977"/>
      <c r="EB70" s="761"/>
      <c r="ED70" s="978"/>
      <c r="EJ70" s="761"/>
      <c r="EP70" s="761"/>
      <c r="EV70" s="761"/>
      <c r="FB70" s="761"/>
      <c r="FD70" s="761"/>
      <c r="GL70" s="973">
        <f t="shared" si="27"/>
        <v>0</v>
      </c>
      <c r="GN70" s="973"/>
    </row>
    <row r="71" spans="1:196">
      <c r="A71" s="758" t="s">
        <v>117</v>
      </c>
      <c r="J71" s="770">
        <v>40</v>
      </c>
      <c r="K71" s="775"/>
      <c r="M71" s="775"/>
      <c r="O71" s="775">
        <f t="shared" ref="O71:O74" si="220">K71+M71</f>
        <v>0</v>
      </c>
      <c r="Q71" s="775"/>
      <c r="S71" s="775"/>
      <c r="U71" s="775">
        <f t="shared" ref="U71:U74" si="221">Q71+S71</f>
        <v>0</v>
      </c>
      <c r="W71" s="775"/>
      <c r="Y71" s="775"/>
      <c r="AA71" s="775">
        <f t="shared" ref="AA71:AA74" si="222">W71+Y71</f>
        <v>0</v>
      </c>
      <c r="AC71" s="775"/>
      <c r="AE71" s="775"/>
      <c r="AG71" s="775">
        <f t="shared" ref="AG71:AG74" si="223">AC71+AE71</f>
        <v>0</v>
      </c>
      <c r="AI71" s="775"/>
      <c r="AK71" s="970">
        <v>0</v>
      </c>
      <c r="AM71" s="775"/>
      <c r="AO71" s="775">
        <f t="shared" ref="AO71:AO74" si="224">AI71+AM71</f>
        <v>0</v>
      </c>
      <c r="AQ71" s="775"/>
      <c r="AS71" s="775"/>
      <c r="AU71" s="775">
        <f t="shared" ref="AU71:AU74" si="225">AQ71+AS71</f>
        <v>0</v>
      </c>
      <c r="AW71" s="775"/>
      <c r="AY71" s="775"/>
      <c r="BA71" s="775">
        <f t="shared" ref="BA71:BA74" si="226">AW71+AY71</f>
        <v>0</v>
      </c>
      <c r="BC71" s="775">
        <v>6256</v>
      </c>
      <c r="BE71" s="775"/>
      <c r="BG71" s="775">
        <f t="shared" ref="BG71:BG74" si="227">BC71+BE71</f>
        <v>6256</v>
      </c>
      <c r="BI71" s="775"/>
      <c r="BK71" s="775"/>
      <c r="BM71" s="775">
        <f t="shared" ref="BM71:BM74" si="228">BI71+BK71</f>
        <v>0</v>
      </c>
      <c r="BO71" s="775"/>
      <c r="BQ71" s="970"/>
      <c r="BS71" s="775"/>
      <c r="BU71" s="775">
        <f t="shared" ref="BU71:BU74" si="229">BO71+BS71</f>
        <v>0</v>
      </c>
      <c r="BW71" s="775"/>
      <c r="BZ71" s="970"/>
      <c r="CB71" s="775"/>
      <c r="CD71" s="970"/>
      <c r="CF71" s="775"/>
      <c r="CH71" s="775">
        <f t="shared" ref="CH71:CH74" si="230">BW71+CF71</f>
        <v>0</v>
      </c>
      <c r="CJ71" s="775"/>
      <c r="CL71" s="775"/>
      <c r="CN71" s="775">
        <f t="shared" ref="CN71:CN74" si="231">CJ71+CL71</f>
        <v>0</v>
      </c>
      <c r="CP71" s="775"/>
      <c r="CR71" s="775"/>
      <c r="CT71" s="775">
        <f t="shared" ref="CT71:CT74" si="232">CP71+CR71</f>
        <v>0</v>
      </c>
      <c r="CV71" s="775"/>
      <c r="CX71" s="775"/>
      <c r="CZ71" s="775">
        <f t="shared" ref="CZ71:CZ74" si="233">CV71+CX71</f>
        <v>0</v>
      </c>
      <c r="DB71" s="775">
        <v>1000</v>
      </c>
      <c r="DD71" s="775"/>
      <c r="DF71" s="775">
        <f t="shared" ref="DF71:DF74" si="234">DB71+DD71</f>
        <v>1000</v>
      </c>
      <c r="DH71" s="775"/>
      <c r="DJ71" s="775"/>
      <c r="DL71" s="775">
        <f t="shared" ref="DL71:DL74" si="235">DH71+DJ71</f>
        <v>0</v>
      </c>
      <c r="DN71" s="775"/>
      <c r="DP71" s="775"/>
      <c r="DR71" s="775">
        <f t="shared" ref="DR71:DR74" si="236">DN71+DP71</f>
        <v>0</v>
      </c>
      <c r="DT71" s="775"/>
      <c r="DV71" s="971">
        <v>0</v>
      </c>
      <c r="DX71" s="775"/>
      <c r="DZ71" s="775">
        <f t="shared" ref="DZ71:DZ74" si="237">DT71+DX71</f>
        <v>0</v>
      </c>
      <c r="EB71" s="775"/>
      <c r="ED71" s="972">
        <v>0</v>
      </c>
      <c r="EF71" s="775"/>
      <c r="EH71" s="775">
        <f t="shared" ref="EH71:EH74" si="238">EB71+EF71</f>
        <v>0</v>
      </c>
      <c r="EJ71" s="775"/>
      <c r="EL71" s="775"/>
      <c r="EN71" s="775">
        <f t="shared" ref="EN71:EN74" si="239">EJ71+EL71</f>
        <v>0</v>
      </c>
      <c r="EP71" s="775"/>
      <c r="ER71" s="775"/>
      <c r="ET71" s="775">
        <f t="shared" ref="ET71:ET74" si="240">EP71+ER71</f>
        <v>0</v>
      </c>
      <c r="EV71" s="775"/>
      <c r="EX71" s="775"/>
      <c r="EZ71" s="775">
        <f t="shared" ref="EZ71:EZ74" si="241">EV71+EX71</f>
        <v>0</v>
      </c>
      <c r="FB71" s="775">
        <v>0</v>
      </c>
      <c r="FD71" s="775"/>
      <c r="FF71" s="775"/>
      <c r="FH71" s="775"/>
      <c r="FJ71" s="775">
        <f t="shared" ref="FJ71:FJ74" si="242">FF71+FH71</f>
        <v>0</v>
      </c>
      <c r="FL71" s="775"/>
      <c r="FN71" s="775"/>
      <c r="FP71" s="775">
        <f t="shared" ref="FP71:FP74" si="243">FL71+FN71</f>
        <v>0</v>
      </c>
      <c r="FR71" s="775"/>
      <c r="FT71" s="775"/>
      <c r="FV71" s="775">
        <f t="shared" ref="FV71:FV74" si="244">FR71+FT71</f>
        <v>0</v>
      </c>
      <c r="FX71" s="775"/>
      <c r="FZ71" s="775"/>
      <c r="GB71" s="775">
        <f t="shared" ref="GB71:GB74" si="245">FX71+FZ71</f>
        <v>0</v>
      </c>
      <c r="GD71" s="775"/>
      <c r="GF71" s="775"/>
      <c r="GH71" s="775">
        <v>0</v>
      </c>
      <c r="GK71" s="761">
        <f t="shared" ref="GK71:GK75" si="246">O71+U71+AA71+AG71+AO71+AU71+BA71+BG71+BM71+BU71+CH71+CN71+CT71+CZ71+DF71+DL71+DR71+DZ71+EH71+EN71+ET71+EZ71+FJ71+FP71+FV71+GB71</f>
        <v>7256</v>
      </c>
      <c r="GL71" s="973">
        <f t="shared" si="27"/>
        <v>7.2560000000000002</v>
      </c>
      <c r="GM71" s="761">
        <f t="shared" ref="GM71:GM75" si="247">O71+U71+AA71+AG71+AO71+BA71+BG71+BM71+BU71+CH71+CN71+CT71+DF71+DZ71+EH71+EN71+ET71+EZ71+FJ71+FP71+FV71</f>
        <v>7256</v>
      </c>
      <c r="GN71" s="973"/>
    </row>
    <row r="72" spans="1:196">
      <c r="A72" s="758" t="s">
        <v>232</v>
      </c>
      <c r="J72" s="758">
        <v>41</v>
      </c>
      <c r="K72" s="775"/>
      <c r="M72" s="775"/>
      <c r="O72" s="775">
        <f t="shared" si="220"/>
        <v>0</v>
      </c>
      <c r="Q72" s="775"/>
      <c r="S72" s="775"/>
      <c r="U72" s="775">
        <f t="shared" si="221"/>
        <v>0</v>
      </c>
      <c r="W72" s="775"/>
      <c r="Y72" s="775"/>
      <c r="AA72" s="775">
        <f t="shared" si="222"/>
        <v>0</v>
      </c>
      <c r="AC72" s="775"/>
      <c r="AE72" s="775"/>
      <c r="AG72" s="775">
        <f t="shared" si="223"/>
        <v>0</v>
      </c>
      <c r="AI72" s="775"/>
      <c r="AK72" s="970">
        <v>0</v>
      </c>
      <c r="AM72" s="775"/>
      <c r="AO72" s="775">
        <f t="shared" si="224"/>
        <v>0</v>
      </c>
      <c r="AQ72" s="775"/>
      <c r="AS72" s="775"/>
      <c r="AU72" s="775">
        <f t="shared" si="225"/>
        <v>0</v>
      </c>
      <c r="AW72" s="775"/>
      <c r="AY72" s="775"/>
      <c r="BA72" s="775">
        <f t="shared" si="226"/>
        <v>0</v>
      </c>
      <c r="BC72" s="775"/>
      <c r="BE72" s="775"/>
      <c r="BG72" s="775">
        <f t="shared" si="227"/>
        <v>0</v>
      </c>
      <c r="BI72" s="775">
        <v>459538</v>
      </c>
      <c r="BK72" s="775"/>
      <c r="BM72" s="775">
        <f t="shared" si="228"/>
        <v>459538</v>
      </c>
      <c r="BO72" s="775"/>
      <c r="BQ72" s="970"/>
      <c r="BS72" s="775"/>
      <c r="BU72" s="775">
        <f t="shared" si="229"/>
        <v>0</v>
      </c>
      <c r="BW72" s="775"/>
      <c r="BZ72" s="970"/>
      <c r="CB72" s="775"/>
      <c r="CD72" s="970"/>
      <c r="CF72" s="775"/>
      <c r="CH72" s="775">
        <f t="shared" si="230"/>
        <v>0</v>
      </c>
      <c r="CJ72" s="775"/>
      <c r="CL72" s="775"/>
      <c r="CN72" s="775">
        <f t="shared" si="231"/>
        <v>0</v>
      </c>
      <c r="CP72" s="775"/>
      <c r="CR72" s="775"/>
      <c r="CT72" s="775">
        <f t="shared" si="232"/>
        <v>0</v>
      </c>
      <c r="CV72" s="775"/>
      <c r="CX72" s="775"/>
      <c r="CZ72" s="775">
        <f t="shared" si="233"/>
        <v>0</v>
      </c>
      <c r="DB72" s="775"/>
      <c r="DD72" s="775"/>
      <c r="DF72" s="775">
        <f t="shared" si="234"/>
        <v>0</v>
      </c>
      <c r="DH72" s="775"/>
      <c r="DJ72" s="775"/>
      <c r="DL72" s="775">
        <f t="shared" si="235"/>
        <v>0</v>
      </c>
      <c r="DN72" s="775"/>
      <c r="DP72" s="775"/>
      <c r="DR72" s="775">
        <f t="shared" si="236"/>
        <v>0</v>
      </c>
      <c r="DT72" s="775"/>
      <c r="DV72" s="971">
        <v>0</v>
      </c>
      <c r="DX72" s="775"/>
      <c r="DZ72" s="775">
        <f t="shared" si="237"/>
        <v>0</v>
      </c>
      <c r="EB72" s="775"/>
      <c r="ED72" s="972">
        <v>0</v>
      </c>
      <c r="EF72" s="775"/>
      <c r="EH72" s="775">
        <f t="shared" si="238"/>
        <v>0</v>
      </c>
      <c r="EJ72" s="775"/>
      <c r="EL72" s="775"/>
      <c r="EN72" s="775">
        <f t="shared" si="239"/>
        <v>0</v>
      </c>
      <c r="EP72" s="775"/>
      <c r="ER72" s="775"/>
      <c r="ET72" s="775">
        <f t="shared" si="240"/>
        <v>0</v>
      </c>
      <c r="EV72" s="775"/>
      <c r="EX72" s="775"/>
      <c r="EZ72" s="775">
        <f t="shared" si="241"/>
        <v>0</v>
      </c>
      <c r="FB72" s="775">
        <v>0</v>
      </c>
      <c r="FD72" s="775"/>
      <c r="FF72" s="775"/>
      <c r="FH72" s="775"/>
      <c r="FJ72" s="775">
        <f t="shared" si="242"/>
        <v>0</v>
      </c>
      <c r="FL72" s="775"/>
      <c r="FN72" s="775"/>
      <c r="FP72" s="775">
        <f t="shared" si="243"/>
        <v>0</v>
      </c>
      <c r="FR72" s="775"/>
      <c r="FT72" s="775"/>
      <c r="FV72" s="775">
        <f t="shared" si="244"/>
        <v>0</v>
      </c>
      <c r="FX72" s="775"/>
      <c r="FZ72" s="775"/>
      <c r="GB72" s="775">
        <f t="shared" si="245"/>
        <v>0</v>
      </c>
      <c r="GD72" s="775"/>
      <c r="GF72" s="775"/>
      <c r="GH72" s="775">
        <v>0</v>
      </c>
      <c r="GK72" s="761">
        <f t="shared" si="246"/>
        <v>459538</v>
      </c>
      <c r="GL72" s="973">
        <f t="shared" si="27"/>
        <v>459.53800000000001</v>
      </c>
      <c r="GM72" s="761">
        <f t="shared" si="247"/>
        <v>459538</v>
      </c>
      <c r="GN72" s="973"/>
    </row>
    <row r="73" spans="1:196" hidden="1">
      <c r="A73" s="758" t="s">
        <v>118</v>
      </c>
      <c r="J73" s="758">
        <v>42</v>
      </c>
      <c r="K73" s="775">
        <v>0</v>
      </c>
      <c r="M73" s="775"/>
      <c r="O73" s="775">
        <f t="shared" si="220"/>
        <v>0</v>
      </c>
      <c r="Q73" s="775"/>
      <c r="S73" s="775"/>
      <c r="U73" s="775">
        <f t="shared" si="221"/>
        <v>0</v>
      </c>
      <c r="W73" s="775"/>
      <c r="Y73" s="775"/>
      <c r="AA73" s="775">
        <f t="shared" si="222"/>
        <v>0</v>
      </c>
      <c r="AC73" s="775"/>
      <c r="AE73" s="775"/>
      <c r="AG73" s="775">
        <f t="shared" si="223"/>
        <v>0</v>
      </c>
      <c r="AI73" s="775"/>
      <c r="AK73" s="970">
        <v>0</v>
      </c>
      <c r="AM73" s="775"/>
      <c r="AO73" s="775">
        <f t="shared" si="224"/>
        <v>0</v>
      </c>
      <c r="AQ73" s="775"/>
      <c r="AS73" s="775"/>
      <c r="AU73" s="775">
        <f t="shared" si="225"/>
        <v>0</v>
      </c>
      <c r="AW73" s="775"/>
      <c r="AY73" s="775"/>
      <c r="BA73" s="775">
        <f t="shared" si="226"/>
        <v>0</v>
      </c>
      <c r="BC73" s="775"/>
      <c r="BE73" s="775"/>
      <c r="BG73" s="775">
        <f t="shared" si="227"/>
        <v>0</v>
      </c>
      <c r="BI73" s="775"/>
      <c r="BK73" s="775"/>
      <c r="BM73" s="775">
        <f t="shared" si="228"/>
        <v>0</v>
      </c>
      <c r="BO73" s="775"/>
      <c r="BQ73" s="970"/>
      <c r="BS73" s="775"/>
      <c r="BU73" s="775">
        <f t="shared" si="229"/>
        <v>0</v>
      </c>
      <c r="BW73" s="775"/>
      <c r="BZ73" s="970"/>
      <c r="CB73" s="775"/>
      <c r="CD73" s="970"/>
      <c r="CF73" s="775"/>
      <c r="CH73" s="775">
        <f t="shared" si="230"/>
        <v>0</v>
      </c>
      <c r="CJ73" s="775"/>
      <c r="CL73" s="775"/>
      <c r="CN73" s="775">
        <f t="shared" si="231"/>
        <v>0</v>
      </c>
      <c r="CP73" s="775"/>
      <c r="CR73" s="775"/>
      <c r="CT73" s="775">
        <f t="shared" si="232"/>
        <v>0</v>
      </c>
      <c r="CV73" s="775"/>
      <c r="CX73" s="775"/>
      <c r="CZ73" s="775">
        <f t="shared" si="233"/>
        <v>0</v>
      </c>
      <c r="DB73" s="775"/>
      <c r="DD73" s="775"/>
      <c r="DF73" s="775">
        <f t="shared" si="234"/>
        <v>0</v>
      </c>
      <c r="DH73" s="775"/>
      <c r="DJ73" s="775"/>
      <c r="DL73" s="775">
        <f t="shared" si="235"/>
        <v>0</v>
      </c>
      <c r="DN73" s="775"/>
      <c r="DP73" s="775"/>
      <c r="DR73" s="775">
        <f t="shared" si="236"/>
        <v>0</v>
      </c>
      <c r="DT73" s="775"/>
      <c r="DV73" s="971">
        <v>0</v>
      </c>
      <c r="DX73" s="775"/>
      <c r="DZ73" s="775">
        <f t="shared" si="237"/>
        <v>0</v>
      </c>
      <c r="EB73" s="775"/>
      <c r="ED73" s="972">
        <v>0</v>
      </c>
      <c r="EF73" s="775"/>
      <c r="EH73" s="775">
        <f t="shared" si="238"/>
        <v>0</v>
      </c>
      <c r="EJ73" s="775"/>
      <c r="EL73" s="775"/>
      <c r="EN73" s="775">
        <f t="shared" si="239"/>
        <v>0</v>
      </c>
      <c r="EP73" s="775"/>
      <c r="ER73" s="775"/>
      <c r="ET73" s="775">
        <f t="shared" si="240"/>
        <v>0</v>
      </c>
      <c r="EV73" s="775"/>
      <c r="EX73" s="775"/>
      <c r="EZ73" s="775">
        <f t="shared" si="241"/>
        <v>0</v>
      </c>
      <c r="FB73" s="775">
        <v>0</v>
      </c>
      <c r="FD73" s="775"/>
      <c r="FF73" s="775"/>
      <c r="FH73" s="775"/>
      <c r="FJ73" s="775">
        <f t="shared" si="242"/>
        <v>0</v>
      </c>
      <c r="FL73" s="775"/>
      <c r="FN73" s="775"/>
      <c r="FP73" s="775">
        <f t="shared" si="243"/>
        <v>0</v>
      </c>
      <c r="FR73" s="775"/>
      <c r="FT73" s="775"/>
      <c r="FV73" s="775">
        <f t="shared" si="244"/>
        <v>0</v>
      </c>
      <c r="FX73" s="775"/>
      <c r="FZ73" s="775"/>
      <c r="GB73" s="775">
        <f t="shared" si="245"/>
        <v>0</v>
      </c>
      <c r="GD73" s="775">
        <v>0</v>
      </c>
      <c r="GF73" s="775"/>
      <c r="GH73" s="775">
        <v>0</v>
      </c>
      <c r="GK73" s="761">
        <f t="shared" si="246"/>
        <v>0</v>
      </c>
      <c r="GL73" s="973">
        <f t="shared" si="27"/>
        <v>0</v>
      </c>
      <c r="GM73" s="761">
        <f t="shared" si="247"/>
        <v>0</v>
      </c>
      <c r="GN73" s="973"/>
    </row>
    <row r="74" spans="1:196">
      <c r="A74" s="758" t="s">
        <v>119</v>
      </c>
      <c r="J74" s="770">
        <v>43</v>
      </c>
      <c r="K74" s="775"/>
      <c r="M74" s="775"/>
      <c r="O74" s="775">
        <f t="shared" si="220"/>
        <v>0</v>
      </c>
      <c r="Q74" s="775"/>
      <c r="S74" s="775"/>
      <c r="U74" s="775">
        <f t="shared" si="221"/>
        <v>0</v>
      </c>
      <c r="W74" s="775">
        <v>5966</v>
      </c>
      <c r="Y74" s="775"/>
      <c r="AA74" s="775">
        <f t="shared" si="222"/>
        <v>5966</v>
      </c>
      <c r="AC74" s="775"/>
      <c r="AE74" s="775"/>
      <c r="AG74" s="775">
        <f t="shared" si="223"/>
        <v>0</v>
      </c>
      <c r="AI74" s="775">
        <v>13247</v>
      </c>
      <c r="AK74" s="970">
        <v>0</v>
      </c>
      <c r="AM74" s="775"/>
      <c r="AO74" s="775">
        <f t="shared" si="224"/>
        <v>13247</v>
      </c>
      <c r="AQ74" s="775"/>
      <c r="AS74" s="775"/>
      <c r="AU74" s="775">
        <f t="shared" si="225"/>
        <v>0</v>
      </c>
      <c r="AW74" s="775"/>
      <c r="AY74" s="775"/>
      <c r="BA74" s="775">
        <f t="shared" si="226"/>
        <v>0</v>
      </c>
      <c r="BC74" s="775"/>
      <c r="BE74" s="775"/>
      <c r="BG74" s="775">
        <f t="shared" si="227"/>
        <v>0</v>
      </c>
      <c r="BI74" s="775"/>
      <c r="BK74" s="775"/>
      <c r="BM74" s="775">
        <f t="shared" si="228"/>
        <v>0</v>
      </c>
      <c r="BO74" s="775"/>
      <c r="BQ74" s="970"/>
      <c r="BS74" s="775"/>
      <c r="BU74" s="775">
        <f t="shared" si="229"/>
        <v>0</v>
      </c>
      <c r="BW74" s="775"/>
      <c r="BZ74" s="970"/>
      <c r="CB74" s="775"/>
      <c r="CD74" s="970"/>
      <c r="CF74" s="775"/>
      <c r="CH74" s="775">
        <f t="shared" si="230"/>
        <v>0</v>
      </c>
      <c r="CJ74" s="775"/>
      <c r="CL74" s="775"/>
      <c r="CN74" s="775">
        <f t="shared" si="231"/>
        <v>0</v>
      </c>
      <c r="CP74" s="775"/>
      <c r="CR74" s="775"/>
      <c r="CT74" s="775">
        <f t="shared" si="232"/>
        <v>0</v>
      </c>
      <c r="CV74" s="775"/>
      <c r="CX74" s="775"/>
      <c r="CZ74" s="775">
        <f t="shared" si="233"/>
        <v>0</v>
      </c>
      <c r="DB74" s="775">
        <v>320000</v>
      </c>
      <c r="DD74" s="775"/>
      <c r="DF74" s="775">
        <f t="shared" si="234"/>
        <v>320000</v>
      </c>
      <c r="DH74" s="775"/>
      <c r="DJ74" s="775"/>
      <c r="DL74" s="775">
        <f t="shared" si="235"/>
        <v>0</v>
      </c>
      <c r="DN74" s="775"/>
      <c r="DP74" s="775"/>
      <c r="DR74" s="775">
        <f t="shared" si="236"/>
        <v>0</v>
      </c>
      <c r="DT74" s="776">
        <v>806</v>
      </c>
      <c r="DV74" s="971">
        <v>0</v>
      </c>
      <c r="DX74" s="775"/>
      <c r="DZ74" s="775">
        <f t="shared" si="237"/>
        <v>806</v>
      </c>
      <c r="EB74" s="775"/>
      <c r="ED74" s="972"/>
      <c r="EF74" s="775"/>
      <c r="EH74" s="775">
        <f t="shared" si="238"/>
        <v>0</v>
      </c>
      <c r="EJ74" s="776">
        <v>476752</v>
      </c>
      <c r="EL74" s="775"/>
      <c r="EN74" s="775">
        <f t="shared" si="239"/>
        <v>476752</v>
      </c>
      <c r="EP74" s="776">
        <v>45385669</v>
      </c>
      <c r="ER74" s="775"/>
      <c r="ET74" s="775">
        <f t="shared" si="240"/>
        <v>45385669</v>
      </c>
      <c r="EV74" s="775">
        <v>60155491</v>
      </c>
      <c r="EX74" s="775">
        <v>-54408000</v>
      </c>
      <c r="EZ74" s="775">
        <f t="shared" si="241"/>
        <v>5747491</v>
      </c>
      <c r="FB74" s="775"/>
      <c r="FD74" s="775"/>
      <c r="FF74" s="775"/>
      <c r="FH74" s="775"/>
      <c r="FJ74" s="775">
        <f t="shared" si="242"/>
        <v>0</v>
      </c>
      <c r="FL74" s="775"/>
      <c r="FN74" s="775"/>
      <c r="FP74" s="775">
        <f t="shared" si="243"/>
        <v>0</v>
      </c>
      <c r="FR74" s="775"/>
      <c r="FT74" s="775"/>
      <c r="FV74" s="775">
        <f t="shared" si="244"/>
        <v>0</v>
      </c>
      <c r="FX74" s="775">
        <v>4263738</v>
      </c>
      <c r="FZ74" s="775"/>
      <c r="GB74" s="775">
        <f t="shared" si="245"/>
        <v>4263738</v>
      </c>
      <c r="GD74" s="775"/>
      <c r="GF74" s="775"/>
      <c r="GH74" s="775">
        <v>0</v>
      </c>
      <c r="GK74" s="761">
        <f t="shared" si="246"/>
        <v>56213669</v>
      </c>
      <c r="GL74" s="973">
        <f t="shared" si="27"/>
        <v>56213.669000000002</v>
      </c>
      <c r="GM74" s="761">
        <f t="shared" si="247"/>
        <v>51949931</v>
      </c>
      <c r="GN74" s="973"/>
    </row>
    <row r="75" spans="1:196">
      <c r="B75" s="766" t="s">
        <v>120</v>
      </c>
      <c r="J75" s="758">
        <v>44</v>
      </c>
      <c r="K75" s="777">
        <f>SUM(K71:K72,K74)</f>
        <v>0</v>
      </c>
      <c r="M75" s="777">
        <f>SUM(M71:M72,M74)</f>
        <v>0</v>
      </c>
      <c r="O75" s="777">
        <f>SUM(O71:O72,O74)</f>
        <v>0</v>
      </c>
      <c r="Q75" s="777">
        <f>SUM(Q71:Q72,Q74)</f>
        <v>0</v>
      </c>
      <c r="S75" s="777">
        <f>SUM(S71:S72,S74)</f>
        <v>0</v>
      </c>
      <c r="U75" s="777">
        <f>SUM(U71:U72,U74)</f>
        <v>0</v>
      </c>
      <c r="W75" s="777">
        <f>SUM(W71:W72,W74)</f>
        <v>5966</v>
      </c>
      <c r="Y75" s="777">
        <f>SUM(Y71:Y72,Y74)</f>
        <v>0</v>
      </c>
      <c r="AA75" s="777">
        <f>SUM(AA71:AA72,AA74)</f>
        <v>5966</v>
      </c>
      <c r="AC75" s="777">
        <f>SUM(AC71:AC72,AC74)</f>
        <v>0</v>
      </c>
      <c r="AE75" s="777">
        <f>SUM(AE71:AE72,AE74)</f>
        <v>0</v>
      </c>
      <c r="AG75" s="777">
        <f>SUM(AG71:AG72,AG74)</f>
        <v>0</v>
      </c>
      <c r="AI75" s="777">
        <f>SUM(AI71:AI72,AI74)</f>
        <v>13247</v>
      </c>
      <c r="AK75" s="974">
        <f>SUM(AK71:AK72,AK74)</f>
        <v>0</v>
      </c>
      <c r="AM75" s="777">
        <f>SUM(AM71:AM72,AM74)</f>
        <v>0</v>
      </c>
      <c r="AO75" s="777">
        <f>SUM(AO71:AO72,AO74)</f>
        <v>13247</v>
      </c>
      <c r="AQ75" s="777">
        <f>SUM(AQ71:AQ72,AQ74)</f>
        <v>0</v>
      </c>
      <c r="AS75" s="777">
        <f>SUM(AS71:AS72,AS74)</f>
        <v>0</v>
      </c>
      <c r="AU75" s="777">
        <f>SUM(AU71:AU72,AU74)</f>
        <v>0</v>
      </c>
      <c r="AW75" s="777">
        <f>SUM(AW71:AW72,AW74)</f>
        <v>0</v>
      </c>
      <c r="AY75" s="777">
        <f>SUM(AY71:AY72,AY74)</f>
        <v>0</v>
      </c>
      <c r="BA75" s="777">
        <f>SUM(BA71:BA72,BA74)</f>
        <v>0</v>
      </c>
      <c r="BC75" s="777">
        <f>SUM(BC71:BC72,BC74)</f>
        <v>6256</v>
      </c>
      <c r="BE75" s="777">
        <f>SUM(BE71:BE72,BE74)</f>
        <v>0</v>
      </c>
      <c r="BG75" s="777">
        <f>SUM(BG71:BG72,BG74)</f>
        <v>6256</v>
      </c>
      <c r="BI75" s="777">
        <f>SUM(BI71:BI72,BI74)</f>
        <v>459538</v>
      </c>
      <c r="BK75" s="777">
        <f>SUM(BK71:BK72,BK74)</f>
        <v>0</v>
      </c>
      <c r="BM75" s="777">
        <f>SUM(BM71:BM72,BM74)</f>
        <v>459538</v>
      </c>
      <c r="BO75" s="777">
        <f>SUM(BO71:BO72,BO74)</f>
        <v>0</v>
      </c>
      <c r="BQ75" s="974">
        <f>SUM(BQ71:BQ72,BQ74)</f>
        <v>0</v>
      </c>
      <c r="BS75" s="777">
        <f>SUM(BS71:BS72,BS74)</f>
        <v>0</v>
      </c>
      <c r="BU75" s="777">
        <f>SUM(BU71:BU72,BU74)</f>
        <v>0</v>
      </c>
      <c r="BW75" s="777">
        <f>SUM(BW71:BW72,BW74)</f>
        <v>0</v>
      </c>
      <c r="BY75" s="777"/>
      <c r="BZ75" s="974">
        <f>SUM(BZ71:BZ72,BZ74)</f>
        <v>0</v>
      </c>
      <c r="CB75" s="777">
        <f>SUM(CB71:CB72,CB74)</f>
        <v>0</v>
      </c>
      <c r="CD75" s="974">
        <f>SUM(CD71:CD72,CD74)</f>
        <v>0</v>
      </c>
      <c r="CF75" s="777">
        <f>SUM(CF71:CF72,CF74)</f>
        <v>0</v>
      </c>
      <c r="CH75" s="777">
        <f>SUM(CH71:CH72,CH74)</f>
        <v>0</v>
      </c>
      <c r="CJ75" s="777">
        <f>SUM(CJ71:CJ72,CJ74)</f>
        <v>0</v>
      </c>
      <c r="CL75" s="777">
        <f>SUM(CL71:CL72,CL74)</f>
        <v>0</v>
      </c>
      <c r="CN75" s="777">
        <f>SUM(CN71:CN72,CN74)</f>
        <v>0</v>
      </c>
      <c r="CO75" s="761"/>
      <c r="CP75" s="777">
        <f>SUM(CP71:CP72,CP74)</f>
        <v>0</v>
      </c>
      <c r="CR75" s="777">
        <f>SUM(CR71:CR72,CR74)</f>
        <v>0</v>
      </c>
      <c r="CT75" s="777">
        <f>SUM(CT71:CT72,CT74)</f>
        <v>0</v>
      </c>
      <c r="CV75" s="777">
        <f>SUM(CV71:CV72,CV74)</f>
        <v>0</v>
      </c>
      <c r="CX75" s="777">
        <f>SUM(CX71:CX72,CX74)</f>
        <v>0</v>
      </c>
      <c r="CZ75" s="777">
        <f>SUM(CZ71:CZ72,CZ74)</f>
        <v>0</v>
      </c>
      <c r="DB75" s="777">
        <f>SUM(DB71:DB72,DB74)</f>
        <v>321000</v>
      </c>
      <c r="DD75" s="777">
        <f>SUM(DD71:DD72,DD74)</f>
        <v>0</v>
      </c>
      <c r="DF75" s="777">
        <f>SUM(DF71:DF72,DF74)</f>
        <v>321000</v>
      </c>
      <c r="DH75" s="777">
        <f>SUM(DH71:DH72,DH74)</f>
        <v>0</v>
      </c>
      <c r="DJ75" s="777">
        <f>SUM(DJ71:DJ72,DJ74)</f>
        <v>0</v>
      </c>
      <c r="DL75" s="777">
        <f>SUM(DL71:DL72,DL74)</f>
        <v>0</v>
      </c>
      <c r="DN75" s="777">
        <f>SUM(DN71:DN72,DN74)</f>
        <v>0</v>
      </c>
      <c r="DP75" s="777">
        <f>SUM(DP71:DP72,DP74)</f>
        <v>0</v>
      </c>
      <c r="DR75" s="777">
        <f>SUM(DR71:DR72,DR74)</f>
        <v>0</v>
      </c>
      <c r="DT75" s="777">
        <f>SUM(DT71:DT72,DT74)</f>
        <v>806</v>
      </c>
      <c r="DV75" s="975">
        <f>SUM(DV71:DV72,DV74)</f>
        <v>0</v>
      </c>
      <c r="DX75" s="777">
        <f>SUM(DX71:DX72,DX74)</f>
        <v>0</v>
      </c>
      <c r="DZ75" s="777">
        <f>SUM(DZ71:DZ72,DZ74)</f>
        <v>806</v>
      </c>
      <c r="EB75" s="777">
        <f>SUM(EB71:EB72,EB74)</f>
        <v>0</v>
      </c>
      <c r="ED75" s="976">
        <f>SUM(ED71:ED72,ED74)</f>
        <v>0</v>
      </c>
      <c r="EF75" s="777">
        <f>SUM(EF71:EF72,EF74)</f>
        <v>0</v>
      </c>
      <c r="EH75" s="777">
        <f>SUM(EH71:EH72,EH74)</f>
        <v>0</v>
      </c>
      <c r="EJ75" s="777">
        <f>SUM(EJ71:EJ72,EJ74)</f>
        <v>476752</v>
      </c>
      <c r="EL75" s="777">
        <f>SUM(EL71:EL72,EL74)</f>
        <v>0</v>
      </c>
      <c r="EN75" s="777">
        <f>SUM(EN71:EN72,EN74)</f>
        <v>476752</v>
      </c>
      <c r="EP75" s="777">
        <f>SUM(EP71:EP72,EP74)</f>
        <v>45385669</v>
      </c>
      <c r="ER75" s="777">
        <f>SUM(ER71:ER72,ER74)</f>
        <v>0</v>
      </c>
      <c r="ET75" s="777">
        <f>SUM(ET71:ET72,ET74)</f>
        <v>45385669</v>
      </c>
      <c r="EV75" s="777">
        <f>SUM(EV71:EV72,EV74)</f>
        <v>60155491</v>
      </c>
      <c r="EX75" s="777">
        <f>SUM(EX71:EX72,EX74)</f>
        <v>-54408000</v>
      </c>
      <c r="EZ75" s="777">
        <f>SUM(EZ71:EZ72,EZ74)</f>
        <v>5747491</v>
      </c>
      <c r="FB75" s="777">
        <f>SUM(FB71:FB72,FB74)</f>
        <v>0</v>
      </c>
      <c r="FD75" s="777">
        <f>SUM(FD71:FD72,FD74)</f>
        <v>0</v>
      </c>
      <c r="FF75" s="777">
        <f>SUM(FF71:FF72,FF74)</f>
        <v>0</v>
      </c>
      <c r="FH75" s="777">
        <f>SUM(FH71:FH72,FH74)</f>
        <v>0</v>
      </c>
      <c r="FJ75" s="777">
        <f>SUM(FJ71:FJ72,FJ74)</f>
        <v>0</v>
      </c>
      <c r="FL75" s="777">
        <f>SUM(FL71:FL72,FL74)</f>
        <v>0</v>
      </c>
      <c r="FN75" s="777">
        <f>SUM(FN71:FN72,FN74)</f>
        <v>0</v>
      </c>
      <c r="FP75" s="777">
        <f>SUM(FP71:FP72,FP74)</f>
        <v>0</v>
      </c>
      <c r="FR75" s="777">
        <f>SUM(FR71:FR72,FR74)</f>
        <v>0</v>
      </c>
      <c r="FT75" s="777">
        <f>SUM(FT71:FT72,FT74)</f>
        <v>0</v>
      </c>
      <c r="FV75" s="777">
        <f>SUM(FV71:FV72,FV74)</f>
        <v>0</v>
      </c>
      <c r="FX75" s="777">
        <f>SUM(FX71:FX72,FX74)</f>
        <v>4263738</v>
      </c>
      <c r="FZ75" s="777">
        <f>SUM(FZ71:FZ72,FZ74)</f>
        <v>0</v>
      </c>
      <c r="GB75" s="777">
        <f>SUM(GB71:GB72,GB74)</f>
        <v>4263738</v>
      </c>
      <c r="GD75" s="777">
        <v>0</v>
      </c>
      <c r="GF75" s="777">
        <v>0</v>
      </c>
      <c r="GH75" s="777">
        <v>0</v>
      </c>
      <c r="GK75" s="761">
        <f t="shared" si="246"/>
        <v>56680463</v>
      </c>
      <c r="GL75" s="973">
        <f t="shared" si="27"/>
        <v>56680.463000000003</v>
      </c>
      <c r="GM75" s="761">
        <f t="shared" si="247"/>
        <v>52416725</v>
      </c>
      <c r="GN75" s="973"/>
    </row>
    <row r="76" spans="1:196">
      <c r="J76" s="770">
        <v>45</v>
      </c>
      <c r="BQ76" s="952"/>
      <c r="BW76" s="761"/>
      <c r="BZ76" s="952"/>
      <c r="CB76" s="761"/>
      <c r="CD76" s="952"/>
      <c r="CP76" s="761"/>
      <c r="CV76" s="761"/>
      <c r="DB76" s="761"/>
      <c r="DH76" s="761"/>
      <c r="DN76" s="761"/>
      <c r="DT76" s="761"/>
      <c r="DV76" s="977"/>
      <c r="EB76" s="761"/>
      <c r="ED76" s="978"/>
      <c r="EJ76" s="761"/>
      <c r="EP76" s="761"/>
      <c r="EV76" s="761"/>
      <c r="FB76" s="761"/>
      <c r="FD76" s="761"/>
      <c r="GL76" s="973">
        <f t="shared" si="27"/>
        <v>0</v>
      </c>
      <c r="GN76" s="973"/>
    </row>
    <row r="77" spans="1:196" hidden="1">
      <c r="J77" s="758">
        <v>46</v>
      </c>
      <c r="BQ77" s="952"/>
      <c r="BW77" s="761"/>
      <c r="BZ77" s="952"/>
      <c r="CB77" s="761"/>
      <c r="CD77" s="952"/>
      <c r="CP77" s="761"/>
      <c r="CV77" s="761"/>
      <c r="DB77" s="761"/>
      <c r="DH77" s="761"/>
      <c r="DN77" s="761"/>
      <c r="DT77" s="761"/>
      <c r="DV77" s="977"/>
      <c r="EB77" s="761"/>
      <c r="ED77" s="978"/>
      <c r="EJ77" s="761"/>
      <c r="EP77" s="761"/>
      <c r="EV77" s="761"/>
      <c r="FB77" s="761"/>
      <c r="FD77" s="761"/>
      <c r="GL77" s="973">
        <f t="shared" si="27"/>
        <v>0</v>
      </c>
      <c r="GN77" s="973"/>
    </row>
    <row r="78" spans="1:196" hidden="1">
      <c r="J78" s="758">
        <v>47</v>
      </c>
      <c r="BQ78" s="952"/>
      <c r="BW78" s="761"/>
      <c r="BZ78" s="952"/>
      <c r="CB78" s="761"/>
      <c r="CD78" s="952"/>
      <c r="CP78" s="761"/>
      <c r="CV78" s="761"/>
      <c r="DB78" s="761"/>
      <c r="DH78" s="761"/>
      <c r="DN78" s="761"/>
      <c r="DT78" s="761"/>
      <c r="DV78" s="977"/>
      <c r="EB78" s="761"/>
      <c r="ED78" s="978"/>
      <c r="EJ78" s="761"/>
      <c r="EP78" s="761"/>
      <c r="EV78" s="761"/>
      <c r="FB78" s="761"/>
      <c r="FD78" s="761"/>
      <c r="GL78" s="973">
        <f t="shared" si="27"/>
        <v>0</v>
      </c>
      <c r="GN78" s="973"/>
    </row>
    <row r="79" spans="1:196" hidden="1">
      <c r="J79" s="758">
        <v>48</v>
      </c>
      <c r="BQ79" s="952"/>
      <c r="BW79" s="761"/>
      <c r="BZ79" s="952"/>
      <c r="CB79" s="761"/>
      <c r="CD79" s="952"/>
      <c r="CP79" s="761"/>
      <c r="CV79" s="761"/>
      <c r="DB79" s="761"/>
      <c r="DH79" s="761"/>
      <c r="DN79" s="761"/>
      <c r="DT79" s="761"/>
      <c r="DV79" s="977"/>
      <c r="EB79" s="761"/>
      <c r="ED79" s="978"/>
      <c r="EJ79" s="761"/>
      <c r="EP79" s="761"/>
      <c r="EV79" s="761"/>
      <c r="FB79" s="761"/>
      <c r="FD79" s="761"/>
      <c r="GL79" s="973">
        <f t="shared" si="27"/>
        <v>0</v>
      </c>
      <c r="GN79" s="973"/>
    </row>
    <row r="80" spans="1:196" hidden="1">
      <c r="J80" s="758">
        <v>49</v>
      </c>
      <c r="BQ80" s="952"/>
      <c r="BW80" s="761"/>
      <c r="BZ80" s="952"/>
      <c r="CB80" s="761"/>
      <c r="CD80" s="952"/>
      <c r="CP80" s="761"/>
      <c r="CV80" s="761"/>
      <c r="DB80" s="761"/>
      <c r="DH80" s="761"/>
      <c r="DN80" s="761"/>
      <c r="DT80" s="761"/>
      <c r="DV80" s="977"/>
      <c r="EB80" s="761"/>
      <c r="ED80" s="978"/>
      <c r="EJ80" s="761"/>
      <c r="EP80" s="761"/>
      <c r="EV80" s="761"/>
      <c r="FB80" s="761"/>
      <c r="FD80" s="761"/>
      <c r="GL80" s="973">
        <f t="shared" si="27"/>
        <v>0</v>
      </c>
      <c r="GN80" s="973"/>
    </row>
    <row r="81" spans="1:196" hidden="1">
      <c r="J81" s="758">
        <v>50</v>
      </c>
      <c r="BQ81" s="952"/>
      <c r="BW81" s="761"/>
      <c r="BZ81" s="952"/>
      <c r="CB81" s="761"/>
      <c r="CD81" s="952"/>
      <c r="CP81" s="761"/>
      <c r="CV81" s="761"/>
      <c r="DB81" s="761"/>
      <c r="DH81" s="761"/>
      <c r="DN81" s="761"/>
      <c r="DT81" s="761"/>
      <c r="DV81" s="977"/>
      <c r="EB81" s="761"/>
      <c r="ED81" s="978"/>
      <c r="EJ81" s="761"/>
      <c r="EP81" s="761"/>
      <c r="EV81" s="761"/>
      <c r="FB81" s="761"/>
      <c r="FD81" s="761"/>
      <c r="GL81" s="973">
        <f t="shared" si="27"/>
        <v>0</v>
      </c>
      <c r="GN81" s="973"/>
    </row>
    <row r="82" spans="1:196" hidden="1">
      <c r="J82" s="758">
        <v>51</v>
      </c>
      <c r="BQ82" s="952"/>
      <c r="BW82" s="761"/>
      <c r="BZ82" s="952"/>
      <c r="CB82" s="761"/>
      <c r="CD82" s="952"/>
      <c r="CP82" s="761"/>
      <c r="CV82" s="761"/>
      <c r="DB82" s="761"/>
      <c r="DH82" s="761"/>
      <c r="DN82" s="761"/>
      <c r="DT82" s="761"/>
      <c r="DV82" s="977"/>
      <c r="EB82" s="761"/>
      <c r="ED82" s="978"/>
      <c r="EJ82" s="761"/>
      <c r="EP82" s="761"/>
      <c r="EV82" s="761"/>
      <c r="FB82" s="761"/>
      <c r="FD82" s="761"/>
      <c r="GL82" s="973">
        <f t="shared" si="27"/>
        <v>0</v>
      </c>
      <c r="GN82" s="973"/>
    </row>
    <row r="83" spans="1:196">
      <c r="A83" s="758" t="s">
        <v>534</v>
      </c>
      <c r="J83" s="758">
        <v>52</v>
      </c>
      <c r="K83" s="775"/>
      <c r="M83" s="775"/>
      <c r="O83" s="775">
        <f t="shared" ref="O83:O89" si="248">K83+M83</f>
        <v>0</v>
      </c>
      <c r="Q83" s="775"/>
      <c r="S83" s="775"/>
      <c r="U83" s="775">
        <f t="shared" ref="U83:U89" si="249">Q83+S83</f>
        <v>0</v>
      </c>
      <c r="W83" s="775"/>
      <c r="Y83" s="775"/>
      <c r="AA83" s="775">
        <f t="shared" ref="AA83:AA89" si="250">W83+Y83</f>
        <v>0</v>
      </c>
      <c r="AC83" s="775"/>
      <c r="AE83" s="775"/>
      <c r="AG83" s="775">
        <f t="shared" ref="AG83:AG89" si="251">AC83+AE83</f>
        <v>0</v>
      </c>
      <c r="AI83" s="775"/>
      <c r="AK83" s="970">
        <v>0</v>
      </c>
      <c r="AM83" s="775"/>
      <c r="AO83" s="775">
        <f t="shared" ref="AO83:AO89" si="252">AI83+AM83</f>
        <v>0</v>
      </c>
      <c r="AQ83" s="775"/>
      <c r="AS83" s="775"/>
      <c r="AU83" s="775">
        <f t="shared" ref="AU83:AU89" si="253">AQ83+AS83</f>
        <v>0</v>
      </c>
      <c r="AW83" s="775">
        <v>11129905</v>
      </c>
      <c r="AY83" s="775"/>
      <c r="BA83" s="775">
        <f t="shared" ref="BA83:BA89" si="254">AW83+AY83</f>
        <v>11129905</v>
      </c>
      <c r="BC83" s="775"/>
      <c r="BE83" s="775"/>
      <c r="BG83" s="775">
        <f t="shared" ref="BG83:BG89" si="255">BC83+BE83</f>
        <v>0</v>
      </c>
      <c r="BI83" s="775">
        <v>4901024</v>
      </c>
      <c r="BK83" s="775"/>
      <c r="BM83" s="775">
        <f t="shared" ref="BM83:BM89" si="256">BI83+BK83</f>
        <v>4901024</v>
      </c>
      <c r="BO83" s="775"/>
      <c r="BQ83" s="970"/>
      <c r="BS83" s="775"/>
      <c r="BU83" s="775">
        <f t="shared" ref="BU83:BU89" si="257">BO83+BS83</f>
        <v>0</v>
      </c>
      <c r="BW83" s="775"/>
      <c r="BZ83" s="970"/>
      <c r="CB83" s="775"/>
      <c r="CD83" s="970"/>
      <c r="CF83" s="775"/>
      <c r="CH83" s="775">
        <f t="shared" ref="CH83:CH89" si="258">BW83+CF83</f>
        <v>0</v>
      </c>
      <c r="CJ83" s="775"/>
      <c r="CL83" s="775"/>
      <c r="CN83" s="775">
        <f t="shared" ref="CN83:CN89" si="259">CJ83+CL83</f>
        <v>0</v>
      </c>
      <c r="CP83" s="775"/>
      <c r="CR83" s="775"/>
      <c r="CT83" s="775">
        <f t="shared" ref="CT83:CT89" si="260">CP83+CR83</f>
        <v>0</v>
      </c>
      <c r="CV83" s="775"/>
      <c r="CX83" s="775"/>
      <c r="CZ83" s="775">
        <f t="shared" ref="CZ83:CZ89" si="261">CV83+CX83</f>
        <v>0</v>
      </c>
      <c r="DB83" s="775"/>
      <c r="DD83" s="775"/>
      <c r="DF83" s="775">
        <f t="shared" ref="DF83:DF89" si="262">DB83+DD83</f>
        <v>0</v>
      </c>
      <c r="DH83" s="775"/>
      <c r="DJ83" s="775"/>
      <c r="DL83" s="775">
        <f t="shared" ref="DL83:DL89" si="263">DH83+DJ83</f>
        <v>0</v>
      </c>
      <c r="DN83" s="775"/>
      <c r="DP83" s="775"/>
      <c r="DR83" s="775">
        <f t="shared" ref="DR83:DR89" si="264">DN83+DP83</f>
        <v>0</v>
      </c>
      <c r="DT83" s="775"/>
      <c r="DV83" s="971">
        <v>0</v>
      </c>
      <c r="DX83" s="775"/>
      <c r="DZ83" s="775">
        <f t="shared" ref="DZ83:DZ89" si="265">DT83+DX83</f>
        <v>0</v>
      </c>
      <c r="EB83" s="775"/>
      <c r="ED83" s="972"/>
      <c r="EF83" s="775"/>
      <c r="EH83" s="775">
        <f t="shared" ref="EH83:EH89" si="266">EB83+EF83</f>
        <v>0</v>
      </c>
      <c r="EJ83" s="775"/>
      <c r="EL83" s="775"/>
      <c r="EN83" s="775">
        <f t="shared" ref="EN83:EN89" si="267">EJ83+EL83</f>
        <v>0</v>
      </c>
      <c r="EP83" s="775"/>
      <c r="ER83" s="775"/>
      <c r="ET83" s="775">
        <f t="shared" ref="ET83:ET89" si="268">EP83+ER83</f>
        <v>0</v>
      </c>
      <c r="EV83" s="775">
        <v>361380013</v>
      </c>
      <c r="EX83" s="775"/>
      <c r="EZ83" s="775">
        <f t="shared" ref="EZ83:EZ89" si="269">EV83+EX83</f>
        <v>361380013</v>
      </c>
      <c r="FB83" s="775"/>
      <c r="FD83" s="775"/>
      <c r="FF83" s="775"/>
      <c r="FH83" s="775"/>
      <c r="FJ83" s="775">
        <f t="shared" ref="FJ83:FJ89" si="270">FF83+FH83</f>
        <v>0</v>
      </c>
      <c r="FL83" s="775"/>
      <c r="FN83" s="775"/>
      <c r="FP83" s="775">
        <f t="shared" ref="FP83:FP89" si="271">FL83+FN83</f>
        <v>0</v>
      </c>
      <c r="FR83" s="775"/>
      <c r="FT83" s="775"/>
      <c r="FV83" s="775">
        <f t="shared" ref="FV83:FV89" si="272">FR83+FT83</f>
        <v>0</v>
      </c>
      <c r="FX83" s="775"/>
      <c r="FZ83" s="775"/>
      <c r="GB83" s="775">
        <f t="shared" ref="GB83:GB89" si="273">FX83+FZ83</f>
        <v>0</v>
      </c>
      <c r="GD83" s="775"/>
      <c r="GF83" s="775"/>
      <c r="GH83" s="775">
        <v>0</v>
      </c>
      <c r="GK83" s="761">
        <f t="shared" ref="GK83:GK90" si="274">O83+U83+AA83+AG83+AO83+AU83+BA83+BG83+BM83+BU83+CH83+CN83+CT83+CZ83+DF83+DL83+DR83+DZ83+EH83+EN83+ET83+EZ83+FJ83+FP83+FV83+GB83</f>
        <v>377410942</v>
      </c>
      <c r="GL83" s="973">
        <f t="shared" si="27"/>
        <v>377410.94199999998</v>
      </c>
      <c r="GM83" s="761">
        <f t="shared" ref="GM83:GM90" si="275">O83+U83+AA83+AG83+AO83+BA83+BG83+BM83+BU83+CH83+CN83+CT83+DF83+DZ83+EH83+EN83+ET83+EZ83+FJ83+FP83+FV83</f>
        <v>377410942</v>
      </c>
      <c r="GN83" s="973"/>
    </row>
    <row r="84" spans="1:196">
      <c r="A84" s="758" t="s">
        <v>217</v>
      </c>
      <c r="J84" s="770">
        <v>53</v>
      </c>
      <c r="K84" s="775"/>
      <c r="M84" s="775"/>
      <c r="O84" s="775">
        <f t="shared" si="248"/>
        <v>0</v>
      </c>
      <c r="Q84" s="775">
        <v>229429</v>
      </c>
      <c r="S84" s="775"/>
      <c r="U84" s="775">
        <f t="shared" si="249"/>
        <v>229429</v>
      </c>
      <c r="W84" s="775"/>
      <c r="Y84" s="775"/>
      <c r="AA84" s="775">
        <f t="shared" si="250"/>
        <v>0</v>
      </c>
      <c r="AC84" s="775"/>
      <c r="AE84" s="775"/>
      <c r="AG84" s="775">
        <f t="shared" si="251"/>
        <v>0</v>
      </c>
      <c r="AI84" s="775"/>
      <c r="AK84" s="970">
        <v>0</v>
      </c>
      <c r="AM84" s="775"/>
      <c r="AO84" s="775">
        <f t="shared" si="252"/>
        <v>0</v>
      </c>
      <c r="AQ84" s="775"/>
      <c r="AS84" s="775"/>
      <c r="AU84" s="775">
        <f t="shared" si="253"/>
        <v>0</v>
      </c>
      <c r="AW84" s="775">
        <v>2514374</v>
      </c>
      <c r="AY84" s="775"/>
      <c r="BA84" s="775">
        <f t="shared" si="254"/>
        <v>2514374</v>
      </c>
      <c r="BC84" s="775"/>
      <c r="BE84" s="775"/>
      <c r="BG84" s="775">
        <f t="shared" si="255"/>
        <v>0</v>
      </c>
      <c r="BI84" s="775"/>
      <c r="BK84" s="775"/>
      <c r="BM84" s="775">
        <f t="shared" si="256"/>
        <v>0</v>
      </c>
      <c r="BO84" s="775"/>
      <c r="BQ84" s="970"/>
      <c r="BS84" s="775"/>
      <c r="BU84" s="775">
        <f t="shared" si="257"/>
        <v>0</v>
      </c>
      <c r="BW84" s="775">
        <v>1061817</v>
      </c>
      <c r="BZ84" s="970"/>
      <c r="CB84" s="775"/>
      <c r="CD84" s="970"/>
      <c r="CF84" s="775"/>
      <c r="CH84" s="775">
        <f t="shared" si="258"/>
        <v>1061817</v>
      </c>
      <c r="CJ84" s="775"/>
      <c r="CL84" s="775"/>
      <c r="CN84" s="775">
        <f t="shared" si="259"/>
        <v>0</v>
      </c>
      <c r="CP84" s="775"/>
      <c r="CR84" s="775"/>
      <c r="CT84" s="775">
        <f t="shared" si="260"/>
        <v>0</v>
      </c>
      <c r="CV84" s="775"/>
      <c r="CX84" s="775"/>
      <c r="CZ84" s="775">
        <f t="shared" si="261"/>
        <v>0</v>
      </c>
      <c r="DB84" s="775">
        <v>33830000</v>
      </c>
      <c r="DD84" s="775"/>
      <c r="DF84" s="775">
        <f t="shared" si="262"/>
        <v>33830000</v>
      </c>
      <c r="DH84" s="775"/>
      <c r="DJ84" s="775"/>
      <c r="DL84" s="775">
        <f t="shared" si="263"/>
        <v>0</v>
      </c>
      <c r="DN84" s="775">
        <v>6216566</v>
      </c>
      <c r="DP84" s="775"/>
      <c r="DR84" s="775">
        <f t="shared" si="264"/>
        <v>6216566</v>
      </c>
      <c r="DT84" s="775">
        <v>6500000</v>
      </c>
      <c r="DV84" s="971">
        <v>0</v>
      </c>
      <c r="DX84" s="775"/>
      <c r="DZ84" s="775">
        <f t="shared" si="265"/>
        <v>6500000</v>
      </c>
      <c r="EB84" s="775"/>
      <c r="ED84" s="972"/>
      <c r="EF84" s="775"/>
      <c r="EH84" s="775">
        <f t="shared" si="266"/>
        <v>0</v>
      </c>
      <c r="EJ84" s="775">
        <v>12018088</v>
      </c>
      <c r="EL84" s="775"/>
      <c r="EN84" s="775">
        <f t="shared" si="267"/>
        <v>12018088</v>
      </c>
      <c r="EP84" s="775">
        <v>39208486</v>
      </c>
      <c r="ER84" s="775"/>
      <c r="ET84" s="775">
        <f t="shared" si="268"/>
        <v>39208486</v>
      </c>
      <c r="EV84" s="775">
        <v>36984827</v>
      </c>
      <c r="EX84" s="775"/>
      <c r="EZ84" s="775">
        <f t="shared" si="269"/>
        <v>36984827</v>
      </c>
      <c r="FB84" s="775"/>
      <c r="FD84" s="775"/>
      <c r="FF84" s="775"/>
      <c r="FH84" s="775"/>
      <c r="FJ84" s="775">
        <f t="shared" si="270"/>
        <v>0</v>
      </c>
      <c r="FL84" s="775"/>
      <c r="FN84" s="775"/>
      <c r="FP84" s="775">
        <f t="shared" si="271"/>
        <v>0</v>
      </c>
      <c r="FR84" s="775"/>
      <c r="FT84" s="775"/>
      <c r="FV84" s="775">
        <f t="shared" si="272"/>
        <v>0</v>
      </c>
      <c r="FX84" s="775"/>
      <c r="FZ84" s="775"/>
      <c r="GB84" s="775">
        <f t="shared" si="273"/>
        <v>0</v>
      </c>
      <c r="GD84" s="775">
        <v>59</v>
      </c>
      <c r="GF84" s="775"/>
      <c r="GH84" s="775">
        <v>59</v>
      </c>
      <c r="GK84" s="761">
        <f t="shared" si="274"/>
        <v>138563587</v>
      </c>
      <c r="GL84" s="973">
        <f t="shared" si="27"/>
        <v>138563.587</v>
      </c>
      <c r="GM84" s="761">
        <f t="shared" si="275"/>
        <v>132347021</v>
      </c>
      <c r="GN84" s="973"/>
    </row>
    <row r="85" spans="1:196">
      <c r="A85" s="758" t="s">
        <v>70</v>
      </c>
      <c r="J85" s="758">
        <v>54</v>
      </c>
      <c r="K85" s="775"/>
      <c r="M85" s="775"/>
      <c r="O85" s="775">
        <f t="shared" si="248"/>
        <v>0</v>
      </c>
      <c r="Q85" s="775">
        <v>1152101</v>
      </c>
      <c r="S85" s="775"/>
      <c r="U85" s="775">
        <f t="shared" si="249"/>
        <v>1152101</v>
      </c>
      <c r="W85" s="775"/>
      <c r="Y85" s="775"/>
      <c r="AA85" s="775">
        <f t="shared" si="250"/>
        <v>0</v>
      </c>
      <c r="AC85" s="775"/>
      <c r="AE85" s="775"/>
      <c r="AG85" s="775">
        <f t="shared" si="251"/>
        <v>0</v>
      </c>
      <c r="AI85" s="775"/>
      <c r="AK85" s="970">
        <v>0</v>
      </c>
      <c r="AM85" s="775"/>
      <c r="AO85" s="775">
        <f t="shared" si="252"/>
        <v>0</v>
      </c>
      <c r="AQ85" s="775"/>
      <c r="AS85" s="775"/>
      <c r="AU85" s="775">
        <f t="shared" si="253"/>
        <v>0</v>
      </c>
      <c r="AW85" s="775">
        <v>73163170</v>
      </c>
      <c r="AY85" s="775"/>
      <c r="BA85" s="775">
        <f t="shared" si="254"/>
        <v>73163170</v>
      </c>
      <c r="BC85" s="775"/>
      <c r="BE85" s="775"/>
      <c r="BG85" s="775">
        <f t="shared" si="255"/>
        <v>0</v>
      </c>
      <c r="BI85" s="775"/>
      <c r="BK85" s="775"/>
      <c r="BM85" s="775">
        <f t="shared" si="256"/>
        <v>0</v>
      </c>
      <c r="BO85" s="775"/>
      <c r="BQ85" s="970"/>
      <c r="BS85" s="775"/>
      <c r="BU85" s="775">
        <f t="shared" si="257"/>
        <v>0</v>
      </c>
      <c r="BW85" s="775"/>
      <c r="BZ85" s="970"/>
      <c r="CB85" s="775"/>
      <c r="CD85" s="970"/>
      <c r="CF85" s="775"/>
      <c r="CH85" s="775">
        <f t="shared" si="258"/>
        <v>0</v>
      </c>
      <c r="CJ85" s="775"/>
      <c r="CL85" s="775"/>
      <c r="CN85" s="775">
        <f t="shared" si="259"/>
        <v>0</v>
      </c>
      <c r="CP85" s="775"/>
      <c r="CR85" s="775"/>
      <c r="CT85" s="775">
        <f t="shared" si="260"/>
        <v>0</v>
      </c>
      <c r="CV85" s="775"/>
      <c r="CX85" s="775"/>
      <c r="CZ85" s="775">
        <f t="shared" si="261"/>
        <v>0</v>
      </c>
      <c r="DB85" s="775"/>
      <c r="DD85" s="775"/>
      <c r="DF85" s="775">
        <f t="shared" si="262"/>
        <v>0</v>
      </c>
      <c r="DH85" s="775"/>
      <c r="DJ85" s="775"/>
      <c r="DL85" s="775">
        <f t="shared" si="263"/>
        <v>0</v>
      </c>
      <c r="DN85" s="775"/>
      <c r="DP85" s="775"/>
      <c r="DR85" s="775">
        <f t="shared" si="264"/>
        <v>0</v>
      </c>
      <c r="DT85" s="775"/>
      <c r="DV85" s="971">
        <v>0</v>
      </c>
      <c r="DX85" s="775"/>
      <c r="DZ85" s="775">
        <f t="shared" si="265"/>
        <v>0</v>
      </c>
      <c r="EB85" s="775"/>
      <c r="ED85" s="972">
        <v>0</v>
      </c>
      <c r="EF85" s="775"/>
      <c r="EH85" s="775">
        <f t="shared" si="266"/>
        <v>0</v>
      </c>
      <c r="EJ85" s="775">
        <v>455782554</v>
      </c>
      <c r="EL85" s="775"/>
      <c r="EN85" s="775">
        <f t="shared" si="267"/>
        <v>455782554</v>
      </c>
      <c r="EP85" s="775"/>
      <c r="ER85" s="775"/>
      <c r="ET85" s="775">
        <f t="shared" si="268"/>
        <v>0</v>
      </c>
      <c r="EV85" s="775"/>
      <c r="EX85" s="775"/>
      <c r="EZ85" s="775">
        <f t="shared" si="269"/>
        <v>0</v>
      </c>
      <c r="FB85" s="775"/>
      <c r="FD85" s="775"/>
      <c r="FF85" s="775"/>
      <c r="FH85" s="775"/>
      <c r="FJ85" s="775">
        <f t="shared" si="270"/>
        <v>0</v>
      </c>
      <c r="FL85" s="775"/>
      <c r="FN85" s="775"/>
      <c r="FP85" s="775">
        <f t="shared" si="271"/>
        <v>0</v>
      </c>
      <c r="FR85" s="775"/>
      <c r="FT85" s="775"/>
      <c r="FV85" s="775">
        <f t="shared" si="272"/>
        <v>0</v>
      </c>
      <c r="FX85" s="775"/>
      <c r="FZ85" s="775"/>
      <c r="GB85" s="775">
        <f t="shared" si="273"/>
        <v>0</v>
      </c>
      <c r="GD85" s="775">
        <v>571862039</v>
      </c>
      <c r="GF85" s="775"/>
      <c r="GH85" s="775">
        <v>571862039</v>
      </c>
      <c r="GK85" s="761">
        <f t="shared" si="274"/>
        <v>530097825</v>
      </c>
      <c r="GL85" s="973">
        <f t="shared" si="27"/>
        <v>530097.82499999995</v>
      </c>
      <c r="GM85" s="761">
        <f t="shared" si="275"/>
        <v>530097825</v>
      </c>
      <c r="GN85" s="973"/>
    </row>
    <row r="86" spans="1:196">
      <c r="A86" s="758" t="s">
        <v>181</v>
      </c>
      <c r="J86" s="770">
        <v>55</v>
      </c>
      <c r="K86" s="775"/>
      <c r="M86" s="775"/>
      <c r="O86" s="775">
        <f t="shared" si="248"/>
        <v>0</v>
      </c>
      <c r="Q86" s="775"/>
      <c r="S86" s="775"/>
      <c r="U86" s="775">
        <f t="shared" si="249"/>
        <v>0</v>
      </c>
      <c r="W86" s="775"/>
      <c r="Y86" s="775"/>
      <c r="AA86" s="775">
        <f t="shared" si="250"/>
        <v>0</v>
      </c>
      <c r="AC86" s="775"/>
      <c r="AE86" s="775"/>
      <c r="AG86" s="775">
        <f t="shared" si="251"/>
        <v>0</v>
      </c>
      <c r="AI86" s="775"/>
      <c r="AK86" s="970">
        <v>0</v>
      </c>
      <c r="AM86" s="775"/>
      <c r="AO86" s="775">
        <f t="shared" si="252"/>
        <v>0</v>
      </c>
      <c r="AQ86" s="775"/>
      <c r="AS86" s="775"/>
      <c r="AU86" s="775">
        <f t="shared" si="253"/>
        <v>0</v>
      </c>
      <c r="AW86" s="775"/>
      <c r="AY86" s="775"/>
      <c r="BA86" s="775">
        <f t="shared" si="254"/>
        <v>0</v>
      </c>
      <c r="BC86" s="775"/>
      <c r="BE86" s="775"/>
      <c r="BG86" s="775">
        <f t="shared" si="255"/>
        <v>0</v>
      </c>
      <c r="BI86" s="775"/>
      <c r="BK86" s="775"/>
      <c r="BM86" s="775">
        <f t="shared" si="256"/>
        <v>0</v>
      </c>
      <c r="BO86" s="775"/>
      <c r="BQ86" s="970"/>
      <c r="BS86" s="775"/>
      <c r="BU86" s="775">
        <f t="shared" si="257"/>
        <v>0</v>
      </c>
      <c r="BW86" s="775"/>
      <c r="BZ86" s="970"/>
      <c r="CB86" s="775"/>
      <c r="CD86" s="970"/>
      <c r="CF86" s="775"/>
      <c r="CH86" s="775">
        <f t="shared" si="258"/>
        <v>0</v>
      </c>
      <c r="CJ86" s="775"/>
      <c r="CL86" s="775"/>
      <c r="CN86" s="775">
        <f t="shared" si="259"/>
        <v>0</v>
      </c>
      <c r="CP86" s="775"/>
      <c r="CR86" s="775"/>
      <c r="CT86" s="775">
        <f t="shared" si="260"/>
        <v>0</v>
      </c>
      <c r="CV86" s="775"/>
      <c r="CX86" s="775"/>
      <c r="CZ86" s="775">
        <f t="shared" si="261"/>
        <v>0</v>
      </c>
      <c r="DB86" s="775"/>
      <c r="DD86" s="775"/>
      <c r="DF86" s="775">
        <f t="shared" si="262"/>
        <v>0</v>
      </c>
      <c r="DH86" s="775"/>
      <c r="DJ86" s="775"/>
      <c r="DL86" s="775">
        <f t="shared" si="263"/>
        <v>0</v>
      </c>
      <c r="DN86" s="775"/>
      <c r="DP86" s="775"/>
      <c r="DR86" s="775">
        <f t="shared" si="264"/>
        <v>0</v>
      </c>
      <c r="DT86" s="775"/>
      <c r="DV86" s="971">
        <v>0</v>
      </c>
      <c r="DX86" s="775"/>
      <c r="DZ86" s="775">
        <f t="shared" si="265"/>
        <v>0</v>
      </c>
      <c r="EB86" s="775"/>
      <c r="ED86" s="972">
        <v>0</v>
      </c>
      <c r="EF86" s="775"/>
      <c r="EH86" s="775">
        <f t="shared" si="266"/>
        <v>0</v>
      </c>
      <c r="EJ86" s="775"/>
      <c r="EL86" s="775"/>
      <c r="EN86" s="775">
        <f t="shared" si="267"/>
        <v>0</v>
      </c>
      <c r="EP86" s="775"/>
      <c r="ER86" s="775"/>
      <c r="ET86" s="775">
        <f t="shared" si="268"/>
        <v>0</v>
      </c>
      <c r="EV86" s="775"/>
      <c r="EX86" s="775"/>
      <c r="EZ86" s="775">
        <f t="shared" si="269"/>
        <v>0</v>
      </c>
      <c r="FB86" s="775"/>
      <c r="FD86" s="775"/>
      <c r="FF86" s="775">
        <v>148051952</v>
      </c>
      <c r="FH86" s="775"/>
      <c r="FJ86" s="775">
        <f t="shared" si="270"/>
        <v>148051952</v>
      </c>
      <c r="FL86" s="775"/>
      <c r="FN86" s="775"/>
      <c r="FP86" s="775">
        <f t="shared" si="271"/>
        <v>0</v>
      </c>
      <c r="FR86" s="775"/>
      <c r="FT86" s="775"/>
      <c r="FV86" s="775">
        <f t="shared" si="272"/>
        <v>0</v>
      </c>
      <c r="FX86" s="775"/>
      <c r="FZ86" s="775"/>
      <c r="GB86" s="775">
        <f t="shared" si="273"/>
        <v>0</v>
      </c>
      <c r="GD86" s="775">
        <v>93938333</v>
      </c>
      <c r="GF86" s="775"/>
      <c r="GH86" s="775">
        <v>93938333</v>
      </c>
      <c r="GK86" s="761">
        <f t="shared" si="274"/>
        <v>148051952</v>
      </c>
      <c r="GL86" s="973">
        <f t="shared" si="27"/>
        <v>148051.95199999999</v>
      </c>
      <c r="GM86" s="761">
        <f t="shared" si="275"/>
        <v>148051952</v>
      </c>
      <c r="GN86" s="973"/>
    </row>
    <row r="87" spans="1:196">
      <c r="A87" s="758" t="s">
        <v>269</v>
      </c>
      <c r="J87" s="758">
        <v>56</v>
      </c>
      <c r="K87" s="775"/>
      <c r="M87" s="775"/>
      <c r="O87" s="775">
        <f t="shared" si="248"/>
        <v>0</v>
      </c>
      <c r="Q87" s="775"/>
      <c r="S87" s="775"/>
      <c r="U87" s="775">
        <f t="shared" si="249"/>
        <v>0</v>
      </c>
      <c r="W87" s="775"/>
      <c r="Y87" s="775"/>
      <c r="AA87" s="775">
        <f t="shared" si="250"/>
        <v>0</v>
      </c>
      <c r="AC87" s="775"/>
      <c r="AE87" s="775"/>
      <c r="AG87" s="775">
        <f t="shared" si="251"/>
        <v>0</v>
      </c>
      <c r="AI87" s="775"/>
      <c r="AK87" s="970">
        <v>0</v>
      </c>
      <c r="AM87" s="775"/>
      <c r="AO87" s="775">
        <f t="shared" si="252"/>
        <v>0</v>
      </c>
      <c r="AQ87" s="775"/>
      <c r="AS87" s="775"/>
      <c r="AU87" s="775">
        <f t="shared" si="253"/>
        <v>0</v>
      </c>
      <c r="AW87" s="775"/>
      <c r="AY87" s="775"/>
      <c r="BA87" s="775">
        <f t="shared" si="254"/>
        <v>0</v>
      </c>
      <c r="BC87" s="775"/>
      <c r="BE87" s="775"/>
      <c r="BG87" s="775">
        <f t="shared" si="255"/>
        <v>0</v>
      </c>
      <c r="BI87" s="775"/>
      <c r="BK87" s="775"/>
      <c r="BM87" s="775">
        <f t="shared" si="256"/>
        <v>0</v>
      </c>
      <c r="BO87" s="775"/>
      <c r="BQ87" s="970"/>
      <c r="BS87" s="775"/>
      <c r="BU87" s="775">
        <f t="shared" si="257"/>
        <v>0</v>
      </c>
      <c r="BW87" s="775"/>
      <c r="BZ87" s="970"/>
      <c r="CB87" s="775"/>
      <c r="CD87" s="970"/>
      <c r="CF87" s="775"/>
      <c r="CH87" s="775">
        <f t="shared" si="258"/>
        <v>0</v>
      </c>
      <c r="CJ87" s="775"/>
      <c r="CL87" s="775"/>
      <c r="CN87" s="775">
        <f t="shared" si="259"/>
        <v>0</v>
      </c>
      <c r="CP87" s="775"/>
      <c r="CR87" s="775"/>
      <c r="CT87" s="775">
        <f t="shared" si="260"/>
        <v>0</v>
      </c>
      <c r="CV87" s="775"/>
      <c r="CX87" s="775"/>
      <c r="CZ87" s="775">
        <f t="shared" si="261"/>
        <v>0</v>
      </c>
      <c r="DB87" s="775"/>
      <c r="DD87" s="775"/>
      <c r="DF87" s="775">
        <f t="shared" si="262"/>
        <v>0</v>
      </c>
      <c r="DH87" s="775"/>
      <c r="DJ87" s="775"/>
      <c r="DL87" s="775">
        <f t="shared" si="263"/>
        <v>0</v>
      </c>
      <c r="DN87" s="775"/>
      <c r="DP87" s="775"/>
      <c r="DR87" s="775">
        <f t="shared" si="264"/>
        <v>0</v>
      </c>
      <c r="DT87" s="775"/>
      <c r="DV87" s="971">
        <v>0</v>
      </c>
      <c r="DX87" s="775"/>
      <c r="DZ87" s="775">
        <f t="shared" si="265"/>
        <v>0</v>
      </c>
      <c r="EB87" s="775"/>
      <c r="ED87" s="972">
        <v>0</v>
      </c>
      <c r="EF87" s="775"/>
      <c r="EH87" s="775">
        <f t="shared" si="266"/>
        <v>0</v>
      </c>
      <c r="EJ87" s="775"/>
      <c r="EL87" s="775"/>
      <c r="EN87" s="775">
        <f t="shared" si="267"/>
        <v>0</v>
      </c>
      <c r="EP87" s="775"/>
      <c r="ER87" s="775"/>
      <c r="ET87" s="775">
        <f t="shared" si="268"/>
        <v>0</v>
      </c>
      <c r="EV87" s="775"/>
      <c r="EX87" s="775"/>
      <c r="EZ87" s="775">
        <f t="shared" si="269"/>
        <v>0</v>
      </c>
      <c r="FB87" s="775"/>
      <c r="FD87" s="775"/>
      <c r="FF87" s="775"/>
      <c r="FH87" s="775"/>
      <c r="FJ87" s="775">
        <f t="shared" si="270"/>
        <v>0</v>
      </c>
      <c r="FL87" s="775"/>
      <c r="FN87" s="775"/>
      <c r="FP87" s="775">
        <f t="shared" si="271"/>
        <v>0</v>
      </c>
      <c r="FR87" s="775"/>
      <c r="FT87" s="775"/>
      <c r="FV87" s="775">
        <f t="shared" si="272"/>
        <v>0</v>
      </c>
      <c r="FX87" s="775"/>
      <c r="FZ87" s="775"/>
      <c r="GB87" s="775">
        <f t="shared" si="273"/>
        <v>0</v>
      </c>
      <c r="GD87" s="775"/>
      <c r="GF87" s="775"/>
      <c r="GH87" s="775">
        <v>0</v>
      </c>
      <c r="GK87" s="761">
        <f t="shared" si="274"/>
        <v>0</v>
      </c>
      <c r="GL87" s="973">
        <f t="shared" si="27"/>
        <v>0</v>
      </c>
      <c r="GM87" s="761">
        <f t="shared" si="275"/>
        <v>0</v>
      </c>
      <c r="GN87" s="973"/>
    </row>
    <row r="88" spans="1:196">
      <c r="A88" s="758" t="s">
        <v>270</v>
      </c>
      <c r="J88" s="770">
        <v>57</v>
      </c>
      <c r="K88" s="775"/>
      <c r="M88" s="775"/>
      <c r="O88" s="775">
        <f t="shared" si="248"/>
        <v>0</v>
      </c>
      <c r="Q88" s="775"/>
      <c r="S88" s="775"/>
      <c r="U88" s="775">
        <f t="shared" si="249"/>
        <v>0</v>
      </c>
      <c r="W88" s="775"/>
      <c r="Y88" s="775"/>
      <c r="AA88" s="775">
        <f t="shared" si="250"/>
        <v>0</v>
      </c>
      <c r="AC88" s="775"/>
      <c r="AE88" s="775"/>
      <c r="AG88" s="775">
        <f t="shared" si="251"/>
        <v>0</v>
      </c>
      <c r="AI88" s="775"/>
      <c r="AK88" s="970">
        <v>0</v>
      </c>
      <c r="AM88" s="775"/>
      <c r="AO88" s="775">
        <f t="shared" si="252"/>
        <v>0</v>
      </c>
      <c r="AQ88" s="775"/>
      <c r="AS88" s="775"/>
      <c r="AU88" s="775">
        <f t="shared" si="253"/>
        <v>0</v>
      </c>
      <c r="AW88" s="775"/>
      <c r="AY88" s="775"/>
      <c r="BA88" s="775">
        <f t="shared" si="254"/>
        <v>0</v>
      </c>
      <c r="BC88" s="775"/>
      <c r="BE88" s="775"/>
      <c r="BG88" s="775">
        <f t="shared" si="255"/>
        <v>0</v>
      </c>
      <c r="BI88" s="775">
        <v>661907</v>
      </c>
      <c r="BK88" s="775"/>
      <c r="BM88" s="775">
        <f t="shared" si="256"/>
        <v>661907</v>
      </c>
      <c r="BO88" s="775"/>
      <c r="BQ88" s="970"/>
      <c r="BS88" s="775"/>
      <c r="BU88" s="775">
        <f t="shared" si="257"/>
        <v>0</v>
      </c>
      <c r="BW88" s="775"/>
      <c r="BZ88" s="970"/>
      <c r="CB88" s="775"/>
      <c r="CD88" s="970"/>
      <c r="CF88" s="775"/>
      <c r="CH88" s="775">
        <f t="shared" si="258"/>
        <v>0</v>
      </c>
      <c r="CJ88" s="775"/>
      <c r="CL88" s="775"/>
      <c r="CN88" s="775">
        <f t="shared" si="259"/>
        <v>0</v>
      </c>
      <c r="CP88" s="775"/>
      <c r="CR88" s="775"/>
      <c r="CT88" s="775">
        <f t="shared" si="260"/>
        <v>0</v>
      </c>
      <c r="CV88" s="775"/>
      <c r="CX88" s="775"/>
      <c r="CZ88" s="775">
        <f t="shared" si="261"/>
        <v>0</v>
      </c>
      <c r="DB88" s="775"/>
      <c r="DD88" s="775"/>
      <c r="DF88" s="775">
        <f t="shared" si="262"/>
        <v>0</v>
      </c>
      <c r="DH88" s="775"/>
      <c r="DJ88" s="775"/>
      <c r="DL88" s="775">
        <f t="shared" si="263"/>
        <v>0</v>
      </c>
      <c r="DN88" s="775"/>
      <c r="DP88" s="775"/>
      <c r="DR88" s="775">
        <f t="shared" si="264"/>
        <v>0</v>
      </c>
      <c r="DT88" s="775"/>
      <c r="DV88" s="971">
        <v>0</v>
      </c>
      <c r="DX88" s="775"/>
      <c r="DZ88" s="775">
        <f t="shared" si="265"/>
        <v>0</v>
      </c>
      <c r="EB88" s="775"/>
      <c r="ED88" s="972">
        <v>0</v>
      </c>
      <c r="EF88" s="775"/>
      <c r="EH88" s="775">
        <f t="shared" si="266"/>
        <v>0</v>
      </c>
      <c r="EJ88" s="775"/>
      <c r="EL88" s="775"/>
      <c r="EN88" s="775">
        <f t="shared" si="267"/>
        <v>0</v>
      </c>
      <c r="EP88" s="775"/>
      <c r="ER88" s="775"/>
      <c r="ET88" s="775">
        <f t="shared" si="268"/>
        <v>0</v>
      </c>
      <c r="EV88" s="775"/>
      <c r="EX88" s="775"/>
      <c r="EZ88" s="775">
        <f t="shared" si="269"/>
        <v>0</v>
      </c>
      <c r="FB88" s="775"/>
      <c r="FD88" s="775"/>
      <c r="FF88" s="775">
        <v>1090</v>
      </c>
      <c r="FH88" s="775"/>
      <c r="FJ88" s="775">
        <f t="shared" si="270"/>
        <v>1090</v>
      </c>
      <c r="FL88" s="775"/>
      <c r="FN88" s="775"/>
      <c r="FP88" s="775">
        <f t="shared" si="271"/>
        <v>0</v>
      </c>
      <c r="FR88" s="775"/>
      <c r="FT88" s="775"/>
      <c r="FV88" s="775">
        <f t="shared" si="272"/>
        <v>0</v>
      </c>
      <c r="FX88" s="775"/>
      <c r="FZ88" s="775"/>
      <c r="GB88" s="775">
        <f t="shared" si="273"/>
        <v>0</v>
      </c>
      <c r="GD88" s="775"/>
      <c r="GF88" s="775"/>
      <c r="GH88" s="775">
        <v>0</v>
      </c>
      <c r="GK88" s="761">
        <f t="shared" si="274"/>
        <v>662997</v>
      </c>
      <c r="GL88" s="973">
        <f t="shared" si="27"/>
        <v>662.99699999999996</v>
      </c>
      <c r="GM88" s="761">
        <f t="shared" si="275"/>
        <v>662997</v>
      </c>
      <c r="GN88" s="973"/>
    </row>
    <row r="89" spans="1:196">
      <c r="A89" s="758" t="s">
        <v>101</v>
      </c>
      <c r="J89" s="758">
        <v>58</v>
      </c>
      <c r="K89" s="775"/>
      <c r="M89" s="775"/>
      <c r="O89" s="775">
        <f t="shared" si="248"/>
        <v>0</v>
      </c>
      <c r="Q89" s="775"/>
      <c r="S89" s="775"/>
      <c r="U89" s="775">
        <f t="shared" si="249"/>
        <v>0</v>
      </c>
      <c r="W89" s="775"/>
      <c r="Y89" s="775"/>
      <c r="AA89" s="775">
        <f t="shared" si="250"/>
        <v>0</v>
      </c>
      <c r="AC89" s="775"/>
      <c r="AE89" s="775"/>
      <c r="AG89" s="775">
        <f t="shared" si="251"/>
        <v>0</v>
      </c>
      <c r="AI89" s="775"/>
      <c r="AK89" s="970">
        <v>0</v>
      </c>
      <c r="AM89" s="775"/>
      <c r="AO89" s="775">
        <f t="shared" si="252"/>
        <v>0</v>
      </c>
      <c r="AQ89" s="775"/>
      <c r="AS89" s="775"/>
      <c r="AU89" s="775">
        <f t="shared" si="253"/>
        <v>0</v>
      </c>
      <c r="AW89" s="775"/>
      <c r="AY89" s="775"/>
      <c r="BA89" s="775">
        <f t="shared" si="254"/>
        <v>0</v>
      </c>
      <c r="BC89" s="775"/>
      <c r="BE89" s="775"/>
      <c r="BG89" s="775">
        <f t="shared" si="255"/>
        <v>0</v>
      </c>
      <c r="BI89" s="775"/>
      <c r="BK89" s="775"/>
      <c r="BM89" s="775">
        <f t="shared" si="256"/>
        <v>0</v>
      </c>
      <c r="BO89" s="775"/>
      <c r="BQ89" s="970"/>
      <c r="BS89" s="775"/>
      <c r="BU89" s="775">
        <f t="shared" si="257"/>
        <v>0</v>
      </c>
      <c r="BW89" s="775"/>
      <c r="BZ89" s="970"/>
      <c r="CB89" s="775"/>
      <c r="CD89" s="970"/>
      <c r="CF89" s="775"/>
      <c r="CH89" s="775">
        <f t="shared" si="258"/>
        <v>0</v>
      </c>
      <c r="CJ89" s="775"/>
      <c r="CL89" s="775"/>
      <c r="CN89" s="775">
        <f t="shared" si="259"/>
        <v>0</v>
      </c>
      <c r="CP89" s="775"/>
      <c r="CR89" s="775"/>
      <c r="CT89" s="775">
        <f t="shared" si="260"/>
        <v>0</v>
      </c>
      <c r="CV89" s="775"/>
      <c r="CX89" s="775"/>
      <c r="CZ89" s="775">
        <f t="shared" si="261"/>
        <v>0</v>
      </c>
      <c r="DB89" s="775"/>
      <c r="DD89" s="775"/>
      <c r="DF89" s="775">
        <f t="shared" si="262"/>
        <v>0</v>
      </c>
      <c r="DH89" s="775"/>
      <c r="DJ89" s="775"/>
      <c r="DL89" s="775">
        <f t="shared" si="263"/>
        <v>0</v>
      </c>
      <c r="DN89" s="775"/>
      <c r="DP89" s="775"/>
      <c r="DR89" s="775">
        <f t="shared" si="264"/>
        <v>0</v>
      </c>
      <c r="DT89" s="775"/>
      <c r="DV89" s="971">
        <v>0</v>
      </c>
      <c r="DX89" s="775"/>
      <c r="DZ89" s="775">
        <f t="shared" si="265"/>
        <v>0</v>
      </c>
      <c r="EB89" s="775"/>
      <c r="ED89" s="972">
        <v>0</v>
      </c>
      <c r="EF89" s="775"/>
      <c r="EH89" s="775">
        <f t="shared" si="266"/>
        <v>0</v>
      </c>
      <c r="EJ89" s="775">
        <v>7750896</v>
      </c>
      <c r="EL89" s="775"/>
      <c r="EN89" s="775">
        <f t="shared" si="267"/>
        <v>7750896</v>
      </c>
      <c r="EP89" s="775">
        <v>1253056463</v>
      </c>
      <c r="ER89" s="775"/>
      <c r="ET89" s="775">
        <f t="shared" si="268"/>
        <v>1253056463</v>
      </c>
      <c r="EV89" s="775">
        <v>199668678</v>
      </c>
      <c r="EX89" s="775"/>
      <c r="EZ89" s="775">
        <f t="shared" si="269"/>
        <v>199668678</v>
      </c>
      <c r="FB89" s="775"/>
      <c r="FD89" s="775"/>
      <c r="FF89" s="775">
        <v>164059036</v>
      </c>
      <c r="FH89" s="775"/>
      <c r="FJ89" s="775">
        <f t="shared" si="270"/>
        <v>164059036</v>
      </c>
      <c r="FL89" s="775"/>
      <c r="FN89" s="775"/>
      <c r="FP89" s="775">
        <f t="shared" si="271"/>
        <v>0</v>
      </c>
      <c r="FR89" s="775"/>
      <c r="FT89" s="775"/>
      <c r="FV89" s="775">
        <f t="shared" si="272"/>
        <v>0</v>
      </c>
      <c r="FX89" s="775">
        <v>13247239</v>
      </c>
      <c r="FZ89" s="775"/>
      <c r="GB89" s="775">
        <f t="shared" si="273"/>
        <v>13247239</v>
      </c>
      <c r="GD89" s="775">
        <v>1772989</v>
      </c>
      <c r="GF89" s="775"/>
      <c r="GH89" s="775">
        <v>1772989</v>
      </c>
      <c r="GK89" s="761">
        <f t="shared" si="274"/>
        <v>1637782312</v>
      </c>
      <c r="GL89" s="973">
        <f t="shared" si="27"/>
        <v>1637782.3119999999</v>
      </c>
      <c r="GM89" s="761">
        <f t="shared" si="275"/>
        <v>1624535073</v>
      </c>
      <c r="GN89" s="973"/>
    </row>
    <row r="90" spans="1:196">
      <c r="B90" s="766" t="s">
        <v>218</v>
      </c>
      <c r="J90" s="770">
        <v>59</v>
      </c>
      <c r="K90" s="777">
        <f>SUM(K83:K89)</f>
        <v>0</v>
      </c>
      <c r="M90" s="777">
        <f>SUM(M83:M89)</f>
        <v>0</v>
      </c>
      <c r="O90" s="777">
        <f>SUM(O83:O89)</f>
        <v>0</v>
      </c>
      <c r="Q90" s="777">
        <f>SUM(Q83:Q89)</f>
        <v>1381530</v>
      </c>
      <c r="S90" s="777">
        <f>SUM(S83:S89)</f>
        <v>0</v>
      </c>
      <c r="U90" s="777">
        <f>SUM(U83:U89)</f>
        <v>1381530</v>
      </c>
      <c r="W90" s="777">
        <f>SUM(W83:W89)</f>
        <v>0</v>
      </c>
      <c r="Y90" s="777">
        <f>SUM(Y83:Y89)</f>
        <v>0</v>
      </c>
      <c r="AA90" s="777">
        <f>SUM(AA83:AA89)</f>
        <v>0</v>
      </c>
      <c r="AC90" s="777">
        <f>SUM(AC83:AC89)</f>
        <v>0</v>
      </c>
      <c r="AE90" s="777">
        <f>SUM(AE83:AE89)</f>
        <v>0</v>
      </c>
      <c r="AG90" s="777">
        <f>SUM(AG83:AG89)</f>
        <v>0</v>
      </c>
      <c r="AI90" s="777">
        <f>SUM(AI83:AI89)</f>
        <v>0</v>
      </c>
      <c r="AK90" s="974">
        <f>SUM(AK83:AK89)</f>
        <v>0</v>
      </c>
      <c r="AM90" s="777">
        <f>SUM(AM83:AM89)</f>
        <v>0</v>
      </c>
      <c r="AO90" s="777">
        <f>SUM(AO83:AO89)</f>
        <v>0</v>
      </c>
      <c r="AQ90" s="777">
        <f>SUM(AQ83:AQ89)</f>
        <v>0</v>
      </c>
      <c r="AS90" s="777">
        <f>SUM(AS83:AS89)</f>
        <v>0</v>
      </c>
      <c r="AU90" s="777">
        <f>SUM(AU83:AU89)</f>
        <v>0</v>
      </c>
      <c r="AW90" s="777">
        <f>SUM(AW83:AW89)</f>
        <v>86807449</v>
      </c>
      <c r="AY90" s="777">
        <f>SUM(AY83:AY89)</f>
        <v>0</v>
      </c>
      <c r="BA90" s="777">
        <f>SUM(BA83:BA89)</f>
        <v>86807449</v>
      </c>
      <c r="BC90" s="777">
        <f>SUM(BC83:BC89)</f>
        <v>0</v>
      </c>
      <c r="BE90" s="777">
        <f>SUM(BE83:BE89)</f>
        <v>0</v>
      </c>
      <c r="BG90" s="777">
        <f>SUM(BG83:BG89)</f>
        <v>0</v>
      </c>
      <c r="BI90" s="777">
        <f>SUM(BI83:BI89)</f>
        <v>5562931</v>
      </c>
      <c r="BK90" s="777">
        <f>SUM(BK83:BK89)</f>
        <v>0</v>
      </c>
      <c r="BM90" s="777">
        <f>SUM(BM83:BM89)</f>
        <v>5562931</v>
      </c>
      <c r="BO90" s="777">
        <f>SUM(BO83:BO89)</f>
        <v>0</v>
      </c>
      <c r="BQ90" s="974">
        <f>SUM(BQ83:BQ89)</f>
        <v>0</v>
      </c>
      <c r="BS90" s="777">
        <f>SUM(BS83:BS89)</f>
        <v>0</v>
      </c>
      <c r="BU90" s="777">
        <f>SUM(BU83:BU89)</f>
        <v>0</v>
      </c>
      <c r="BW90" s="777">
        <f>SUM(BW83:BW89)</f>
        <v>1061817</v>
      </c>
      <c r="BZ90" s="974">
        <f>SUM(BZ83:BZ89)</f>
        <v>0</v>
      </c>
      <c r="CB90" s="777">
        <f>SUM(CB83:CB89)</f>
        <v>0</v>
      </c>
      <c r="CD90" s="974">
        <f>SUM(CD83:CD89)</f>
        <v>0</v>
      </c>
      <c r="CF90" s="777">
        <f>SUM(CF83:CF89)</f>
        <v>0</v>
      </c>
      <c r="CH90" s="777">
        <f>SUM(CH83:CH89)</f>
        <v>1061817</v>
      </c>
      <c r="CJ90" s="777">
        <f>SUM(CJ83:CJ89)</f>
        <v>0</v>
      </c>
      <c r="CL90" s="777">
        <f>SUM(CL83:CL89)</f>
        <v>0</v>
      </c>
      <c r="CN90" s="777">
        <f>SUM(CN83:CN89)</f>
        <v>0</v>
      </c>
      <c r="CP90" s="777">
        <f>SUM(CP83:CP89)</f>
        <v>0</v>
      </c>
      <c r="CR90" s="777">
        <f>SUM(CR83:CR89)</f>
        <v>0</v>
      </c>
      <c r="CT90" s="777">
        <f>SUM(CT83:CT89)</f>
        <v>0</v>
      </c>
      <c r="CV90" s="777">
        <f>SUM(CV83:CV89)</f>
        <v>0</v>
      </c>
      <c r="CX90" s="777">
        <f>SUM(CX83:CX89)</f>
        <v>0</v>
      </c>
      <c r="CZ90" s="777">
        <f>SUM(CZ83:CZ89)</f>
        <v>0</v>
      </c>
      <c r="DB90" s="777">
        <f>SUM(DB83:DB89)</f>
        <v>33830000</v>
      </c>
      <c r="DD90" s="777">
        <f>SUM(DD83:DD89)</f>
        <v>0</v>
      </c>
      <c r="DF90" s="777">
        <f>SUM(DF83:DF89)</f>
        <v>33830000</v>
      </c>
      <c r="DH90" s="777">
        <f>SUM(DH83:DH89)</f>
        <v>0</v>
      </c>
      <c r="DJ90" s="777">
        <f>SUM(DJ83:DJ89)</f>
        <v>0</v>
      </c>
      <c r="DL90" s="777">
        <f>SUM(DL83:DL89)</f>
        <v>0</v>
      </c>
      <c r="DN90" s="777">
        <f>SUM(DN83:DN89)</f>
        <v>6216566</v>
      </c>
      <c r="DP90" s="777">
        <f>SUM(DP83:DP89)</f>
        <v>0</v>
      </c>
      <c r="DR90" s="777">
        <f>SUM(DR83:DR89)</f>
        <v>6216566</v>
      </c>
      <c r="DT90" s="777">
        <f>SUM(DT83:DT89)</f>
        <v>6500000</v>
      </c>
      <c r="DV90" s="975">
        <f>SUM(DV83:DV89)</f>
        <v>0</v>
      </c>
      <c r="DX90" s="777">
        <f>SUM(DX83:DX89)</f>
        <v>0</v>
      </c>
      <c r="DZ90" s="777">
        <f>SUM(DZ83:DZ89)</f>
        <v>6500000</v>
      </c>
      <c r="EB90" s="777">
        <f>SUM(EB83:EB89)</f>
        <v>0</v>
      </c>
      <c r="ED90" s="976">
        <f>SUM(ED83:ED89)</f>
        <v>0</v>
      </c>
      <c r="EF90" s="777">
        <f>SUM(EF83:EF89)</f>
        <v>0</v>
      </c>
      <c r="EH90" s="777">
        <f>SUM(EH83:EH89)</f>
        <v>0</v>
      </c>
      <c r="EJ90" s="777">
        <f>SUM(EJ83:EJ89)</f>
        <v>475551538</v>
      </c>
      <c r="EL90" s="777">
        <f>SUM(EL83:EL89)</f>
        <v>0</v>
      </c>
      <c r="EN90" s="777">
        <f>SUM(EN83:EN89)</f>
        <v>475551538</v>
      </c>
      <c r="EP90" s="777">
        <f>SUM(EP83:EP89)</f>
        <v>1292264949</v>
      </c>
      <c r="ER90" s="777">
        <f>SUM(ER83:ER89)</f>
        <v>0</v>
      </c>
      <c r="ET90" s="777">
        <f>SUM(ET83:ET89)</f>
        <v>1292264949</v>
      </c>
      <c r="EV90" s="777">
        <f>SUM(EV83:EV89)</f>
        <v>598033518</v>
      </c>
      <c r="EX90" s="777">
        <f>SUM(EX83:EX89)</f>
        <v>0</v>
      </c>
      <c r="EZ90" s="777">
        <f>SUM(EZ83:EZ89)</f>
        <v>598033518</v>
      </c>
      <c r="FB90" s="777">
        <f>SUM(FB83:FB89)</f>
        <v>0</v>
      </c>
      <c r="FD90" s="777">
        <f>SUM(FD83:FD89)</f>
        <v>0</v>
      </c>
      <c r="FF90" s="777">
        <f>SUM(FF83:FF89)</f>
        <v>312112078</v>
      </c>
      <c r="FH90" s="777">
        <f>SUM(FH83:FH89)</f>
        <v>0</v>
      </c>
      <c r="FJ90" s="777">
        <f>SUM(FJ83:FJ89)</f>
        <v>312112078</v>
      </c>
      <c r="FL90" s="777">
        <f>SUM(FL83:FL89)</f>
        <v>0</v>
      </c>
      <c r="FN90" s="777">
        <f>SUM(FN83:FN89)</f>
        <v>0</v>
      </c>
      <c r="FP90" s="777">
        <f>SUM(FP83:FP89)</f>
        <v>0</v>
      </c>
      <c r="FR90" s="777">
        <f>SUM(FR83:FR89)</f>
        <v>0</v>
      </c>
      <c r="FT90" s="777">
        <f>SUM(FT83:FT89)</f>
        <v>0</v>
      </c>
      <c r="FV90" s="777">
        <f>SUM(FV83:FV89)</f>
        <v>0</v>
      </c>
      <c r="FX90" s="777">
        <f>SUM(FX83:FX89)</f>
        <v>13247239</v>
      </c>
      <c r="FZ90" s="777">
        <f>SUM(FZ83:FZ89)</f>
        <v>0</v>
      </c>
      <c r="GB90" s="777">
        <f>SUM(GB83:GB89)</f>
        <v>13247239</v>
      </c>
      <c r="GD90" s="777">
        <v>667573420</v>
      </c>
      <c r="GF90" s="777">
        <v>0</v>
      </c>
      <c r="GH90" s="777">
        <v>667573420</v>
      </c>
      <c r="GK90" s="761">
        <f t="shared" si="274"/>
        <v>2832569615</v>
      </c>
      <c r="GL90" s="973">
        <f t="shared" si="27"/>
        <v>2832569.6150000002</v>
      </c>
      <c r="GM90" s="761">
        <f t="shared" si="275"/>
        <v>2813105810</v>
      </c>
      <c r="GN90" s="973"/>
    </row>
    <row r="91" spans="1:196">
      <c r="J91" s="758">
        <v>60</v>
      </c>
      <c r="BQ91" s="952"/>
      <c r="BW91" s="761"/>
      <c r="BZ91" s="952"/>
      <c r="CB91" s="761"/>
      <c r="CD91" s="952"/>
      <c r="CP91" s="761"/>
      <c r="CV91" s="761"/>
      <c r="DB91" s="761"/>
      <c r="DH91" s="761"/>
      <c r="DN91" s="761"/>
      <c r="DT91" s="761"/>
      <c r="DV91" s="977"/>
      <c r="EB91" s="761"/>
      <c r="ED91" s="978"/>
      <c r="EJ91" s="761"/>
      <c r="EP91" s="761"/>
      <c r="EV91" s="761"/>
      <c r="FB91" s="761"/>
      <c r="FD91" s="761"/>
      <c r="GL91" s="973">
        <f t="shared" si="27"/>
        <v>0</v>
      </c>
      <c r="GN91" s="973"/>
    </row>
    <row r="92" spans="1:196" hidden="1">
      <c r="J92" s="758">
        <v>61</v>
      </c>
      <c r="BQ92" s="952"/>
      <c r="BW92" s="761"/>
      <c r="BZ92" s="952"/>
      <c r="CB92" s="761"/>
      <c r="CD92" s="952"/>
      <c r="CP92" s="761"/>
      <c r="CV92" s="761"/>
      <c r="DB92" s="761"/>
      <c r="DH92" s="761"/>
      <c r="DN92" s="761"/>
      <c r="DT92" s="761"/>
      <c r="DV92" s="977"/>
      <c r="EB92" s="761"/>
      <c r="ED92" s="978"/>
      <c r="EJ92" s="761"/>
      <c r="EP92" s="761"/>
      <c r="EV92" s="761"/>
      <c r="FB92" s="761"/>
      <c r="FD92" s="761"/>
      <c r="GL92" s="973">
        <f t="shared" si="27"/>
        <v>0</v>
      </c>
      <c r="GN92" s="973"/>
    </row>
    <row r="93" spans="1:196">
      <c r="A93" s="758" t="s">
        <v>268</v>
      </c>
      <c r="J93" s="770">
        <v>62</v>
      </c>
      <c r="K93" s="775"/>
      <c r="M93" s="775"/>
      <c r="O93" s="775">
        <f t="shared" ref="O93:O96" si="276">K93+M93</f>
        <v>0</v>
      </c>
      <c r="Q93" s="775"/>
      <c r="S93" s="775"/>
      <c r="U93" s="775">
        <f t="shared" ref="U93:U96" si="277">Q93+S93</f>
        <v>0</v>
      </c>
      <c r="W93" s="775"/>
      <c r="Y93" s="775"/>
      <c r="AA93" s="775">
        <f t="shared" ref="AA93:AA96" si="278">W93+Y93</f>
        <v>0</v>
      </c>
      <c r="AC93" s="775"/>
      <c r="AE93" s="775"/>
      <c r="AG93" s="775">
        <f t="shared" ref="AG93:AG96" si="279">AC93+AE93</f>
        <v>0</v>
      </c>
      <c r="AI93" s="775"/>
      <c r="AK93" s="970">
        <v>0</v>
      </c>
      <c r="AM93" s="775"/>
      <c r="AO93" s="775">
        <f t="shared" ref="AO93:AO96" si="280">AI93+AM93</f>
        <v>0</v>
      </c>
      <c r="AQ93" s="775"/>
      <c r="AS93" s="775"/>
      <c r="AU93" s="775">
        <f t="shared" ref="AU93:AU96" si="281">AQ93+AS93</f>
        <v>0</v>
      </c>
      <c r="AW93" s="775"/>
      <c r="AY93" s="775"/>
      <c r="BA93" s="775">
        <f t="shared" ref="BA93:BA96" si="282">AW93+AY93</f>
        <v>0</v>
      </c>
      <c r="BC93" s="775"/>
      <c r="BE93" s="775"/>
      <c r="BG93" s="775">
        <f t="shared" ref="BG93:BG96" si="283">BC93+BE93</f>
        <v>0</v>
      </c>
      <c r="BI93" s="775"/>
      <c r="BK93" s="775"/>
      <c r="BM93" s="775">
        <f t="shared" ref="BM93:BM96" si="284">BI93+BK93</f>
        <v>0</v>
      </c>
      <c r="BO93" s="775"/>
      <c r="BQ93" s="970"/>
      <c r="BS93" s="775"/>
      <c r="BU93" s="775">
        <f t="shared" ref="BU93:BU96" si="285">BO93+BS93</f>
        <v>0</v>
      </c>
      <c r="BW93" s="775"/>
      <c r="BZ93" s="970"/>
      <c r="CB93" s="775"/>
      <c r="CD93" s="970"/>
      <c r="CF93" s="775"/>
      <c r="CH93" s="775">
        <f t="shared" ref="CH93:CH96" si="286">BW93+CF93</f>
        <v>0</v>
      </c>
      <c r="CJ93" s="775"/>
      <c r="CL93" s="775"/>
      <c r="CN93" s="775">
        <f t="shared" ref="CN93:CN96" si="287">CJ93+CL93</f>
        <v>0</v>
      </c>
      <c r="CP93" s="775"/>
      <c r="CR93" s="775"/>
      <c r="CT93" s="775">
        <f t="shared" ref="CT93:CT96" si="288">CP93+CR93</f>
        <v>0</v>
      </c>
      <c r="CV93" s="775"/>
      <c r="CX93" s="775"/>
      <c r="CZ93" s="775">
        <f t="shared" ref="CZ93:CZ96" si="289">CV93+CX93</f>
        <v>0</v>
      </c>
      <c r="DB93" s="775"/>
      <c r="DD93" s="775"/>
      <c r="DF93" s="775">
        <f t="shared" ref="DF93:DF96" si="290">DB93+DD93</f>
        <v>0</v>
      </c>
      <c r="DH93" s="775"/>
      <c r="DJ93" s="775"/>
      <c r="DL93" s="775">
        <f t="shared" ref="DL93:DL96" si="291">DH93+DJ93</f>
        <v>0</v>
      </c>
      <c r="DN93" s="775"/>
      <c r="DP93" s="775"/>
      <c r="DR93" s="775">
        <f t="shared" ref="DR93:DR96" si="292">DN93+DP93</f>
        <v>0</v>
      </c>
      <c r="DT93" s="775"/>
      <c r="DV93" s="971">
        <v>0</v>
      </c>
      <c r="DX93" s="775"/>
      <c r="DZ93" s="775">
        <f t="shared" ref="DZ93:DZ96" si="293">DT93+DX93</f>
        <v>0</v>
      </c>
      <c r="EB93" s="775"/>
      <c r="ED93" s="972">
        <v>0</v>
      </c>
      <c r="EF93" s="775"/>
      <c r="EH93" s="775">
        <f t="shared" ref="EH93:EH96" si="294">EB93+EF93</f>
        <v>0</v>
      </c>
      <c r="EJ93" s="775"/>
      <c r="EL93" s="775"/>
      <c r="EN93" s="775">
        <f t="shared" ref="EN93:EN96" si="295">EJ93+EL93</f>
        <v>0</v>
      </c>
      <c r="EP93" s="775"/>
      <c r="ER93" s="775"/>
      <c r="ET93" s="775">
        <f t="shared" ref="ET93:ET96" si="296">EP93+ER93</f>
        <v>0</v>
      </c>
      <c r="EV93" s="775"/>
      <c r="EX93" s="775"/>
      <c r="EZ93" s="775">
        <f t="shared" ref="EZ93:EZ96" si="297">EV93+EX93</f>
        <v>0</v>
      </c>
      <c r="FB93" s="775">
        <v>0</v>
      </c>
      <c r="FD93" s="775"/>
      <c r="FF93" s="775"/>
      <c r="FH93" s="775"/>
      <c r="FJ93" s="775">
        <f t="shared" ref="FJ93:FJ96" si="298">FF93+FH93</f>
        <v>0</v>
      </c>
      <c r="FL93" s="775"/>
      <c r="FN93" s="775"/>
      <c r="FP93" s="775">
        <f t="shared" ref="FP93:FP96" si="299">FL93+FN93</f>
        <v>0</v>
      </c>
      <c r="FR93" s="775"/>
      <c r="FT93" s="775"/>
      <c r="FV93" s="775">
        <f t="shared" ref="FV93:FV96" si="300">FR93+FT93</f>
        <v>0</v>
      </c>
      <c r="FX93" s="775"/>
      <c r="FZ93" s="775"/>
      <c r="GB93" s="775">
        <f t="shared" ref="GB93:GB96" si="301">FX93+FZ93</f>
        <v>0</v>
      </c>
      <c r="GD93" s="775"/>
      <c r="GF93" s="775"/>
      <c r="GH93" s="775">
        <v>0</v>
      </c>
      <c r="GK93" s="761">
        <f t="shared" ref="GK93:GK97" si="302">O93+U93+AA93+AG93+AO93+AU93+BA93+BG93+BM93+BU93+CH93+CN93+CT93+CZ93+DF93+DL93+DR93+DZ93+EH93+EN93+ET93+EZ93+FJ93+FP93+FV93+GB93</f>
        <v>0</v>
      </c>
      <c r="GL93" s="973">
        <f t="shared" si="27"/>
        <v>0</v>
      </c>
      <c r="GM93" s="761">
        <f t="shared" ref="GM93:GM97" si="303">O93+U93+AA93+AG93+AO93+BA93+BG93+BM93+BU93+CH93+CN93+CT93+DF93+DZ93+EH93+EN93+ET93+EZ93+FJ93+FP93+FV93</f>
        <v>0</v>
      </c>
      <c r="GN93" s="973"/>
    </row>
    <row r="94" spans="1:196">
      <c r="A94" s="758" t="s">
        <v>71</v>
      </c>
      <c r="J94" s="758">
        <v>63</v>
      </c>
      <c r="K94" s="775"/>
      <c r="M94" s="775"/>
      <c r="O94" s="775">
        <f t="shared" si="276"/>
        <v>0</v>
      </c>
      <c r="Q94" s="775"/>
      <c r="S94" s="775"/>
      <c r="U94" s="775">
        <f t="shared" si="277"/>
        <v>0</v>
      </c>
      <c r="W94" s="775"/>
      <c r="Y94" s="775"/>
      <c r="AA94" s="775">
        <f t="shared" si="278"/>
        <v>0</v>
      </c>
      <c r="AC94" s="775"/>
      <c r="AE94" s="775"/>
      <c r="AG94" s="775">
        <f t="shared" si="279"/>
        <v>0</v>
      </c>
      <c r="AI94" s="775"/>
      <c r="AK94" s="970">
        <v>0</v>
      </c>
      <c r="AM94" s="775"/>
      <c r="AO94" s="775">
        <f t="shared" si="280"/>
        <v>0</v>
      </c>
      <c r="AQ94" s="775"/>
      <c r="AS94" s="775"/>
      <c r="AU94" s="775">
        <f t="shared" si="281"/>
        <v>0</v>
      </c>
      <c r="AW94" s="775"/>
      <c r="AY94" s="775"/>
      <c r="BA94" s="775">
        <f t="shared" si="282"/>
        <v>0</v>
      </c>
      <c r="BC94" s="775"/>
      <c r="BE94" s="775"/>
      <c r="BG94" s="775">
        <f t="shared" si="283"/>
        <v>0</v>
      </c>
      <c r="BI94" s="775"/>
      <c r="BK94" s="775"/>
      <c r="BM94" s="775">
        <f t="shared" si="284"/>
        <v>0</v>
      </c>
      <c r="BO94" s="775"/>
      <c r="BQ94" s="970"/>
      <c r="BS94" s="775"/>
      <c r="BU94" s="775">
        <f t="shared" si="285"/>
        <v>0</v>
      </c>
      <c r="BW94" s="775"/>
      <c r="BZ94" s="970"/>
      <c r="CB94" s="775"/>
      <c r="CD94" s="970"/>
      <c r="CF94" s="775"/>
      <c r="CH94" s="775">
        <f t="shared" si="286"/>
        <v>0</v>
      </c>
      <c r="CJ94" s="775"/>
      <c r="CL94" s="775"/>
      <c r="CN94" s="775">
        <f t="shared" si="287"/>
        <v>0</v>
      </c>
      <c r="CP94" s="775"/>
      <c r="CR94" s="775"/>
      <c r="CT94" s="775">
        <f t="shared" si="288"/>
        <v>0</v>
      </c>
      <c r="CV94" s="775"/>
      <c r="CX94" s="775"/>
      <c r="CZ94" s="775">
        <f t="shared" si="289"/>
        <v>0</v>
      </c>
      <c r="DB94" s="775"/>
      <c r="DD94" s="775"/>
      <c r="DF94" s="775">
        <f t="shared" si="290"/>
        <v>0</v>
      </c>
      <c r="DH94" s="775"/>
      <c r="DJ94" s="775"/>
      <c r="DL94" s="775">
        <f t="shared" si="291"/>
        <v>0</v>
      </c>
      <c r="DN94" s="775"/>
      <c r="DP94" s="775"/>
      <c r="DR94" s="775">
        <f t="shared" si="292"/>
        <v>0</v>
      </c>
      <c r="DT94" s="775"/>
      <c r="DV94" s="971">
        <v>0</v>
      </c>
      <c r="DX94" s="775"/>
      <c r="DZ94" s="775">
        <f t="shared" si="293"/>
        <v>0</v>
      </c>
      <c r="EB94" s="775"/>
      <c r="ED94" s="972">
        <v>0</v>
      </c>
      <c r="EF94" s="775"/>
      <c r="EH94" s="775">
        <f t="shared" si="294"/>
        <v>0</v>
      </c>
      <c r="EJ94" s="775"/>
      <c r="EL94" s="775"/>
      <c r="EN94" s="775">
        <f t="shared" si="295"/>
        <v>0</v>
      </c>
      <c r="EP94" s="775"/>
      <c r="ER94" s="775"/>
      <c r="ET94" s="775">
        <f t="shared" si="296"/>
        <v>0</v>
      </c>
      <c r="EV94" s="775"/>
      <c r="EX94" s="775"/>
      <c r="EZ94" s="775">
        <f t="shared" si="297"/>
        <v>0</v>
      </c>
      <c r="FB94" s="775">
        <v>0</v>
      </c>
      <c r="FD94" s="775"/>
      <c r="FF94" s="775"/>
      <c r="FH94" s="775"/>
      <c r="FJ94" s="775">
        <f t="shared" si="298"/>
        <v>0</v>
      </c>
      <c r="FL94" s="775"/>
      <c r="FN94" s="775"/>
      <c r="FP94" s="775">
        <f t="shared" si="299"/>
        <v>0</v>
      </c>
      <c r="FR94" s="775"/>
      <c r="FT94" s="775"/>
      <c r="FV94" s="775">
        <f t="shared" si="300"/>
        <v>0</v>
      </c>
      <c r="FX94" s="775"/>
      <c r="FZ94" s="775"/>
      <c r="GB94" s="775">
        <f t="shared" si="301"/>
        <v>0</v>
      </c>
      <c r="GD94" s="775"/>
      <c r="GF94" s="775"/>
      <c r="GH94" s="775">
        <v>0</v>
      </c>
      <c r="GK94" s="761">
        <f t="shared" si="302"/>
        <v>0</v>
      </c>
      <c r="GL94" s="973">
        <f t="shared" si="27"/>
        <v>0</v>
      </c>
      <c r="GM94" s="761">
        <f t="shared" si="303"/>
        <v>0</v>
      </c>
      <c r="GN94" s="973"/>
    </row>
    <row r="95" spans="1:196">
      <c r="A95" s="758" t="s">
        <v>271</v>
      </c>
      <c r="J95" s="770">
        <v>64</v>
      </c>
      <c r="K95" s="775"/>
      <c r="M95" s="775"/>
      <c r="O95" s="775">
        <f t="shared" si="276"/>
        <v>0</v>
      </c>
      <c r="Q95" s="775">
        <v>197272</v>
      </c>
      <c r="S95" s="775"/>
      <c r="U95" s="775">
        <f t="shared" si="277"/>
        <v>197272</v>
      </c>
      <c r="W95" s="775"/>
      <c r="Y95" s="775"/>
      <c r="AA95" s="775">
        <f t="shared" si="278"/>
        <v>0</v>
      </c>
      <c r="AC95" s="775"/>
      <c r="AE95" s="775"/>
      <c r="AG95" s="775">
        <f t="shared" si="279"/>
        <v>0</v>
      </c>
      <c r="AI95" s="775"/>
      <c r="AK95" s="970">
        <v>0</v>
      </c>
      <c r="AM95" s="775"/>
      <c r="AO95" s="775">
        <f t="shared" si="280"/>
        <v>0</v>
      </c>
      <c r="AQ95" s="775"/>
      <c r="AS95" s="775"/>
      <c r="AU95" s="775">
        <f t="shared" si="281"/>
        <v>0</v>
      </c>
      <c r="AW95" s="775"/>
      <c r="AY95" s="775"/>
      <c r="BA95" s="775">
        <f t="shared" si="282"/>
        <v>0</v>
      </c>
      <c r="BC95" s="775"/>
      <c r="BE95" s="775"/>
      <c r="BG95" s="775">
        <f t="shared" si="283"/>
        <v>0</v>
      </c>
      <c r="BI95" s="775">
        <v>157459519</v>
      </c>
      <c r="BK95" s="775"/>
      <c r="BM95" s="775">
        <f t="shared" si="284"/>
        <v>157459519</v>
      </c>
      <c r="BO95" s="775"/>
      <c r="BQ95" s="970"/>
      <c r="BS95" s="775"/>
      <c r="BU95" s="775">
        <f t="shared" si="285"/>
        <v>0</v>
      </c>
      <c r="BW95" s="775"/>
      <c r="BZ95" s="970"/>
      <c r="CB95" s="775"/>
      <c r="CD95" s="970"/>
      <c r="CF95" s="775"/>
      <c r="CH95" s="775">
        <f t="shared" si="286"/>
        <v>0</v>
      </c>
      <c r="CJ95" s="775"/>
      <c r="CL95" s="775"/>
      <c r="CN95" s="775">
        <f t="shared" si="287"/>
        <v>0</v>
      </c>
      <c r="CP95" s="775"/>
      <c r="CR95" s="775"/>
      <c r="CT95" s="775">
        <f t="shared" si="288"/>
        <v>0</v>
      </c>
      <c r="CV95" s="775"/>
      <c r="CX95" s="775"/>
      <c r="CZ95" s="775">
        <f t="shared" si="289"/>
        <v>0</v>
      </c>
      <c r="DB95" s="775"/>
      <c r="DD95" s="775"/>
      <c r="DF95" s="775">
        <f t="shared" si="290"/>
        <v>0</v>
      </c>
      <c r="DH95" s="775"/>
      <c r="DJ95" s="775"/>
      <c r="DL95" s="775">
        <f t="shared" si="291"/>
        <v>0</v>
      </c>
      <c r="DN95" s="775"/>
      <c r="DP95" s="775"/>
      <c r="DR95" s="775">
        <f t="shared" si="292"/>
        <v>0</v>
      </c>
      <c r="DT95" s="775"/>
      <c r="DV95" s="971">
        <v>0</v>
      </c>
      <c r="DX95" s="775"/>
      <c r="DZ95" s="775">
        <f t="shared" si="293"/>
        <v>0</v>
      </c>
      <c r="EB95" s="775"/>
      <c r="ED95" s="972">
        <v>0</v>
      </c>
      <c r="EF95" s="775"/>
      <c r="EH95" s="775">
        <f t="shared" si="294"/>
        <v>0</v>
      </c>
      <c r="EJ95" s="775"/>
      <c r="EL95" s="775"/>
      <c r="EN95" s="775">
        <f t="shared" si="295"/>
        <v>0</v>
      </c>
      <c r="EP95" s="775"/>
      <c r="ER95" s="775"/>
      <c r="ET95" s="775">
        <f t="shared" si="296"/>
        <v>0</v>
      </c>
      <c r="EV95" s="775"/>
      <c r="EX95" s="775"/>
      <c r="EZ95" s="775">
        <f t="shared" si="297"/>
        <v>0</v>
      </c>
      <c r="FB95" s="775">
        <v>0</v>
      </c>
      <c r="FD95" s="775"/>
      <c r="FF95" s="775"/>
      <c r="FH95" s="775"/>
      <c r="FJ95" s="775">
        <f t="shared" si="298"/>
        <v>0</v>
      </c>
      <c r="FL95" s="775"/>
      <c r="FN95" s="775"/>
      <c r="FP95" s="775">
        <f t="shared" si="299"/>
        <v>0</v>
      </c>
      <c r="FR95" s="775"/>
      <c r="FT95" s="775"/>
      <c r="FV95" s="775">
        <f t="shared" si="300"/>
        <v>0</v>
      </c>
      <c r="FX95" s="775"/>
      <c r="FZ95" s="775"/>
      <c r="GB95" s="775">
        <f t="shared" si="301"/>
        <v>0</v>
      </c>
      <c r="GD95" s="775"/>
      <c r="GF95" s="775"/>
      <c r="GH95" s="775">
        <v>0</v>
      </c>
      <c r="GK95" s="761">
        <f t="shared" si="302"/>
        <v>157656791</v>
      </c>
      <c r="GL95" s="973">
        <f t="shared" si="27"/>
        <v>157656.791</v>
      </c>
      <c r="GM95" s="761">
        <f t="shared" si="303"/>
        <v>157656791</v>
      </c>
      <c r="GN95" s="973"/>
    </row>
    <row r="96" spans="1:196">
      <c r="A96" s="758" t="s">
        <v>272</v>
      </c>
      <c r="J96" s="758">
        <v>65</v>
      </c>
      <c r="K96" s="775"/>
      <c r="M96" s="775"/>
      <c r="O96" s="775">
        <f t="shared" si="276"/>
        <v>0</v>
      </c>
      <c r="Q96" s="775">
        <v>275246</v>
      </c>
      <c r="S96" s="775"/>
      <c r="U96" s="775">
        <f t="shared" si="277"/>
        <v>275246</v>
      </c>
      <c r="W96" s="775"/>
      <c r="Y96" s="775"/>
      <c r="AA96" s="775">
        <f t="shared" si="278"/>
        <v>0</v>
      </c>
      <c r="AC96" s="775"/>
      <c r="AE96" s="775"/>
      <c r="AG96" s="775">
        <f t="shared" si="279"/>
        <v>0</v>
      </c>
      <c r="AI96" s="775"/>
      <c r="AK96" s="970">
        <v>0</v>
      </c>
      <c r="AM96" s="775"/>
      <c r="AO96" s="775">
        <f t="shared" si="280"/>
        <v>0</v>
      </c>
      <c r="AQ96" s="775"/>
      <c r="AS96" s="775"/>
      <c r="AU96" s="775">
        <f t="shared" si="281"/>
        <v>0</v>
      </c>
      <c r="AW96" s="775"/>
      <c r="AY96" s="775"/>
      <c r="BA96" s="775">
        <f t="shared" si="282"/>
        <v>0</v>
      </c>
      <c r="BC96" s="775"/>
      <c r="BE96" s="775"/>
      <c r="BG96" s="775">
        <f t="shared" si="283"/>
        <v>0</v>
      </c>
      <c r="BI96" s="775"/>
      <c r="BK96" s="775"/>
      <c r="BM96" s="775">
        <f t="shared" si="284"/>
        <v>0</v>
      </c>
      <c r="BO96" s="775"/>
      <c r="BQ96" s="970"/>
      <c r="BS96" s="775"/>
      <c r="BU96" s="775">
        <f t="shared" si="285"/>
        <v>0</v>
      </c>
      <c r="BW96" s="775"/>
      <c r="BZ96" s="970"/>
      <c r="CB96" s="775"/>
      <c r="CD96" s="970"/>
      <c r="CF96" s="775"/>
      <c r="CH96" s="775">
        <f t="shared" si="286"/>
        <v>0</v>
      </c>
      <c r="CJ96" s="775"/>
      <c r="CL96" s="775"/>
      <c r="CN96" s="775">
        <f t="shared" si="287"/>
        <v>0</v>
      </c>
      <c r="CP96" s="775"/>
      <c r="CR96" s="775"/>
      <c r="CT96" s="775">
        <f t="shared" si="288"/>
        <v>0</v>
      </c>
      <c r="CV96" s="775">
        <v>771326</v>
      </c>
      <c r="CX96" s="775"/>
      <c r="CZ96" s="775">
        <f t="shared" si="289"/>
        <v>771326</v>
      </c>
      <c r="DB96" s="775"/>
      <c r="DD96" s="775"/>
      <c r="DF96" s="775">
        <f t="shared" si="290"/>
        <v>0</v>
      </c>
      <c r="DH96" s="775">
        <v>3410466</v>
      </c>
      <c r="DJ96" s="775"/>
      <c r="DL96" s="775">
        <f t="shared" si="291"/>
        <v>3410466</v>
      </c>
      <c r="DN96" s="775">
        <v>21479886</v>
      </c>
      <c r="DP96" s="775"/>
      <c r="DR96" s="775">
        <f t="shared" si="292"/>
        <v>21479886</v>
      </c>
      <c r="DT96" s="775"/>
      <c r="DV96" s="971">
        <v>0</v>
      </c>
      <c r="DX96" s="775"/>
      <c r="DZ96" s="775">
        <f t="shared" si="293"/>
        <v>0</v>
      </c>
      <c r="EB96" s="775"/>
      <c r="ED96" s="972">
        <v>0</v>
      </c>
      <c r="EF96" s="775"/>
      <c r="EH96" s="775">
        <f t="shared" si="294"/>
        <v>0</v>
      </c>
      <c r="EJ96" s="775">
        <v>574187705</v>
      </c>
      <c r="EL96" s="775"/>
      <c r="EN96" s="775">
        <f t="shared" si="295"/>
        <v>574187705</v>
      </c>
      <c r="EP96" s="775">
        <v>788533616</v>
      </c>
      <c r="ER96" s="775"/>
      <c r="ET96" s="775">
        <f t="shared" si="296"/>
        <v>788533616</v>
      </c>
      <c r="EV96" s="775">
        <v>44149501</v>
      </c>
      <c r="EX96" s="775"/>
      <c r="EZ96" s="775">
        <f t="shared" si="297"/>
        <v>44149501</v>
      </c>
      <c r="FB96" s="775"/>
      <c r="FD96" s="775"/>
      <c r="FF96" s="775">
        <v>79959970</v>
      </c>
      <c r="FH96" s="775"/>
      <c r="FJ96" s="775">
        <f t="shared" si="298"/>
        <v>79959970</v>
      </c>
      <c r="FL96" s="775"/>
      <c r="FN96" s="775"/>
      <c r="FP96" s="775">
        <f t="shared" si="299"/>
        <v>0</v>
      </c>
      <c r="FR96" s="775"/>
      <c r="FT96" s="775"/>
      <c r="FV96" s="775">
        <f t="shared" si="300"/>
        <v>0</v>
      </c>
      <c r="FX96" s="775">
        <v>248016053</v>
      </c>
      <c r="FZ96" s="775"/>
      <c r="GB96" s="775">
        <f t="shared" si="301"/>
        <v>248016053</v>
      </c>
      <c r="GD96" s="775">
        <v>4533337</v>
      </c>
      <c r="GF96" s="775"/>
      <c r="GH96" s="775">
        <v>4533337</v>
      </c>
      <c r="GK96" s="761">
        <f t="shared" si="302"/>
        <v>1760783769</v>
      </c>
      <c r="GL96" s="973">
        <f t="shared" si="27"/>
        <v>1760783.7690000001</v>
      </c>
      <c r="GM96" s="761">
        <f t="shared" si="303"/>
        <v>1487106038</v>
      </c>
      <c r="GN96" s="973"/>
    </row>
    <row r="97" spans="1:196">
      <c r="B97" s="766" t="s">
        <v>219</v>
      </c>
      <c r="J97" s="770">
        <v>66</v>
      </c>
      <c r="K97" s="777">
        <f>SUM(K93:K96)</f>
        <v>0</v>
      </c>
      <c r="M97" s="777">
        <f>SUM(M93:M96)</f>
        <v>0</v>
      </c>
      <c r="O97" s="777">
        <f>SUM(O93:O96)</f>
        <v>0</v>
      </c>
      <c r="Q97" s="777">
        <f>SUM(Q93:Q96)</f>
        <v>472518</v>
      </c>
      <c r="S97" s="777">
        <f>SUM(S93:S96)</f>
        <v>0</v>
      </c>
      <c r="U97" s="777">
        <f>SUM(U93:U96)</f>
        <v>472518</v>
      </c>
      <c r="W97" s="777">
        <f>SUM(W93:W96)</f>
        <v>0</v>
      </c>
      <c r="Y97" s="777">
        <f>SUM(Y93:Y96)</f>
        <v>0</v>
      </c>
      <c r="AA97" s="777">
        <f>SUM(AA93:AA96)</f>
        <v>0</v>
      </c>
      <c r="AC97" s="777">
        <f>SUM(AC93:AC96)</f>
        <v>0</v>
      </c>
      <c r="AE97" s="777">
        <f>SUM(AE93:AE96)</f>
        <v>0</v>
      </c>
      <c r="AG97" s="777">
        <f>SUM(AG93:AG96)</f>
        <v>0</v>
      </c>
      <c r="AI97" s="777">
        <f>SUM(AI93:AI96)</f>
        <v>0</v>
      </c>
      <c r="AK97" s="974">
        <f>SUM(AK93:AK96)</f>
        <v>0</v>
      </c>
      <c r="AM97" s="777">
        <f>SUM(AM93:AM96)</f>
        <v>0</v>
      </c>
      <c r="AO97" s="777">
        <f>SUM(AO93:AO96)</f>
        <v>0</v>
      </c>
      <c r="AQ97" s="777">
        <f>SUM(AQ93:AQ96)</f>
        <v>0</v>
      </c>
      <c r="AS97" s="777">
        <f>SUM(AS93:AS96)</f>
        <v>0</v>
      </c>
      <c r="AU97" s="777">
        <f>SUM(AU93:AU96)</f>
        <v>0</v>
      </c>
      <c r="AW97" s="777">
        <f>SUM(AW93:AW96)</f>
        <v>0</v>
      </c>
      <c r="AY97" s="777">
        <f>SUM(AY93:AY96)</f>
        <v>0</v>
      </c>
      <c r="BA97" s="777">
        <f>SUM(BA93:BA96)</f>
        <v>0</v>
      </c>
      <c r="BC97" s="777">
        <f>SUM(BC93:BC96)</f>
        <v>0</v>
      </c>
      <c r="BE97" s="777">
        <f>SUM(BE93:BE96)</f>
        <v>0</v>
      </c>
      <c r="BG97" s="777">
        <f>SUM(BG93:BG96)</f>
        <v>0</v>
      </c>
      <c r="BI97" s="777">
        <f>SUM(BI93:BI96)</f>
        <v>157459519</v>
      </c>
      <c r="BK97" s="777">
        <f>SUM(BK93:BK96)</f>
        <v>0</v>
      </c>
      <c r="BM97" s="777">
        <f>SUM(BM93:BM96)</f>
        <v>157459519</v>
      </c>
      <c r="BO97" s="777">
        <f>SUM(BO93:BO96)</f>
        <v>0</v>
      </c>
      <c r="BQ97" s="974">
        <f>SUM(BQ93:BQ96)</f>
        <v>0</v>
      </c>
      <c r="BS97" s="777">
        <f>SUM(BS93:BS96)</f>
        <v>0</v>
      </c>
      <c r="BU97" s="777">
        <f>SUM(BU93:BU96)</f>
        <v>0</v>
      </c>
      <c r="BW97" s="777">
        <f>SUM(BW93:BW96)</f>
        <v>0</v>
      </c>
      <c r="BZ97" s="974">
        <f>SUM(BZ93:BZ96)</f>
        <v>0</v>
      </c>
      <c r="CB97" s="777">
        <f>SUM(CB93:CB96)</f>
        <v>0</v>
      </c>
      <c r="CD97" s="974">
        <f>SUM(CD93:CD96)</f>
        <v>0</v>
      </c>
      <c r="CF97" s="777">
        <f>SUM(CF93:CF96)</f>
        <v>0</v>
      </c>
      <c r="CH97" s="777">
        <f>SUM(CH93:CH96)</f>
        <v>0</v>
      </c>
      <c r="CJ97" s="777">
        <f>SUM(CJ93:CJ96)</f>
        <v>0</v>
      </c>
      <c r="CL97" s="777">
        <f>SUM(CL93:CL96)</f>
        <v>0</v>
      </c>
      <c r="CN97" s="777">
        <f>SUM(CN93:CN96)</f>
        <v>0</v>
      </c>
      <c r="CP97" s="777">
        <f>SUM(CP93:CP96)</f>
        <v>0</v>
      </c>
      <c r="CR97" s="777">
        <f>SUM(CR93:CR96)</f>
        <v>0</v>
      </c>
      <c r="CT97" s="777">
        <f>SUM(CT93:CT96)</f>
        <v>0</v>
      </c>
      <c r="CV97" s="777">
        <f>SUM(CV93:CV96)</f>
        <v>771326</v>
      </c>
      <c r="CX97" s="777">
        <f>SUM(CX93:CX96)</f>
        <v>0</v>
      </c>
      <c r="CZ97" s="777">
        <f>SUM(CZ93:CZ96)</f>
        <v>771326</v>
      </c>
      <c r="DB97" s="777">
        <f>SUM(DB93:DB96)</f>
        <v>0</v>
      </c>
      <c r="DD97" s="777">
        <f>SUM(DD93:DD96)</f>
        <v>0</v>
      </c>
      <c r="DF97" s="777">
        <f>SUM(DF93:DF96)</f>
        <v>0</v>
      </c>
      <c r="DH97" s="777">
        <f>SUM(DH93:DH96)</f>
        <v>3410466</v>
      </c>
      <c r="DJ97" s="777">
        <f>SUM(DJ93:DJ96)</f>
        <v>0</v>
      </c>
      <c r="DL97" s="777">
        <f>SUM(DL93:DL96)</f>
        <v>3410466</v>
      </c>
      <c r="DN97" s="777">
        <f>SUM(DN93:DN96)</f>
        <v>21479886</v>
      </c>
      <c r="DP97" s="777">
        <f>SUM(DP93:DP96)</f>
        <v>0</v>
      </c>
      <c r="DR97" s="777">
        <f>SUM(DR93:DR96)</f>
        <v>21479886</v>
      </c>
      <c r="DT97" s="777">
        <f>SUM(DT93:DT96)</f>
        <v>0</v>
      </c>
      <c r="DV97" s="975">
        <f>SUM(DV93:DV96)</f>
        <v>0</v>
      </c>
      <c r="DX97" s="777">
        <f>SUM(DX93:DX96)</f>
        <v>0</v>
      </c>
      <c r="DZ97" s="777">
        <f>SUM(DZ93:DZ96)</f>
        <v>0</v>
      </c>
      <c r="EB97" s="777">
        <f>SUM(EB93:EB96)</f>
        <v>0</v>
      </c>
      <c r="ED97" s="976">
        <f>SUM(ED93:ED96)</f>
        <v>0</v>
      </c>
      <c r="EF97" s="777">
        <f>SUM(EF93:EF96)</f>
        <v>0</v>
      </c>
      <c r="EH97" s="777">
        <f>SUM(EH93:EH96)</f>
        <v>0</v>
      </c>
      <c r="EJ97" s="777">
        <f>SUM(EJ93:EJ96)</f>
        <v>574187705</v>
      </c>
      <c r="EL97" s="777">
        <f>SUM(EL93:EL96)</f>
        <v>0</v>
      </c>
      <c r="EN97" s="777">
        <f>SUM(EN93:EN96)</f>
        <v>574187705</v>
      </c>
      <c r="EP97" s="777">
        <f>SUM(EP93:EP96)</f>
        <v>788533616</v>
      </c>
      <c r="ER97" s="777">
        <f>SUM(ER93:ER96)</f>
        <v>0</v>
      </c>
      <c r="ET97" s="777">
        <f>SUM(ET93:ET96)</f>
        <v>788533616</v>
      </c>
      <c r="EV97" s="777">
        <f>SUM(EV93:EV96)</f>
        <v>44149501</v>
      </c>
      <c r="EX97" s="777">
        <f>SUM(EX93:EX96)</f>
        <v>0</v>
      </c>
      <c r="EZ97" s="777">
        <f>SUM(EZ93:EZ96)</f>
        <v>44149501</v>
      </c>
      <c r="FB97" s="777">
        <f>SUM(FB93:FB96)</f>
        <v>0</v>
      </c>
      <c r="FD97" s="777">
        <f>SUM(FD93:FD96)</f>
        <v>0</v>
      </c>
      <c r="FF97" s="777">
        <f>SUM(FF93:FF96)</f>
        <v>79959970</v>
      </c>
      <c r="FH97" s="777">
        <f>SUM(FH93:FH96)</f>
        <v>0</v>
      </c>
      <c r="FJ97" s="777">
        <f>SUM(FJ93:FJ96)</f>
        <v>79959970</v>
      </c>
      <c r="FL97" s="777">
        <f>SUM(FL93:FL96)</f>
        <v>0</v>
      </c>
      <c r="FN97" s="777">
        <f>SUM(FN93:FN96)</f>
        <v>0</v>
      </c>
      <c r="FP97" s="777">
        <f>SUM(FP93:FP96)</f>
        <v>0</v>
      </c>
      <c r="FR97" s="777">
        <f>SUM(FR93:FR96)</f>
        <v>0</v>
      </c>
      <c r="FT97" s="777">
        <f>SUM(FT93:FT96)</f>
        <v>0</v>
      </c>
      <c r="FV97" s="777">
        <f>SUM(FV93:FV96)</f>
        <v>0</v>
      </c>
      <c r="FX97" s="777">
        <f>SUM(FX93:FX96)</f>
        <v>248016053</v>
      </c>
      <c r="FZ97" s="777">
        <f>SUM(FZ93:FZ96)</f>
        <v>0</v>
      </c>
      <c r="GB97" s="777">
        <f>SUM(GB93:GB96)</f>
        <v>248016053</v>
      </c>
      <c r="GD97" s="777">
        <v>4533337</v>
      </c>
      <c r="GF97" s="777">
        <v>0</v>
      </c>
      <c r="GH97" s="777">
        <v>4533337</v>
      </c>
      <c r="GK97" s="761">
        <f t="shared" si="302"/>
        <v>1918440560</v>
      </c>
      <c r="GL97" s="973">
        <f t="shared" si="27"/>
        <v>1918440.56</v>
      </c>
      <c r="GM97" s="761">
        <f t="shared" si="303"/>
        <v>1644762829</v>
      </c>
      <c r="GN97" s="973"/>
    </row>
    <row r="98" spans="1:196">
      <c r="J98" s="758">
        <v>67</v>
      </c>
      <c r="BQ98" s="952"/>
      <c r="BW98" s="761"/>
      <c r="BZ98" s="952"/>
      <c r="CB98" s="761"/>
      <c r="CD98" s="952"/>
      <c r="CP98" s="761"/>
      <c r="CV98" s="761"/>
      <c r="DB98" s="761"/>
      <c r="DH98" s="761"/>
      <c r="DN98" s="761"/>
      <c r="DT98" s="761"/>
      <c r="DV98" s="977"/>
      <c r="EB98" s="761"/>
      <c r="ED98" s="978"/>
      <c r="EJ98" s="761"/>
      <c r="EP98" s="761"/>
      <c r="EV98" s="761"/>
      <c r="FB98" s="761"/>
      <c r="FD98" s="761"/>
      <c r="GL98" s="973">
        <f t="shared" si="27"/>
        <v>0</v>
      </c>
      <c r="GN98" s="973"/>
    </row>
    <row r="99" spans="1:196" ht="12">
      <c r="A99" s="979"/>
      <c r="J99" s="758">
        <v>68</v>
      </c>
      <c r="BQ99" s="952"/>
      <c r="BW99" s="761"/>
      <c r="BZ99" s="952"/>
      <c r="CB99" s="761"/>
      <c r="CD99" s="952"/>
      <c r="CP99" s="761"/>
      <c r="CV99" s="761"/>
      <c r="DB99" s="761"/>
      <c r="DH99" s="761"/>
      <c r="DN99" s="761"/>
      <c r="DT99" s="761"/>
      <c r="DV99" s="977"/>
      <c r="EB99" s="761"/>
      <c r="ED99" s="978"/>
      <c r="EJ99" s="761"/>
      <c r="EP99" s="761"/>
      <c r="EV99" s="761"/>
      <c r="FB99" s="761"/>
      <c r="FD99" s="761"/>
      <c r="GL99" s="973">
        <f t="shared" ref="GL99:GL162" si="304">GK99/1000</f>
        <v>0</v>
      </c>
      <c r="GN99" s="973"/>
    </row>
    <row r="100" spans="1:196">
      <c r="A100" s="758" t="s">
        <v>220</v>
      </c>
      <c r="J100" s="770">
        <v>69</v>
      </c>
      <c r="K100" s="775"/>
      <c r="M100" s="775"/>
      <c r="O100" s="775">
        <f t="shared" ref="O100:O103" si="305">K100+M100</f>
        <v>0</v>
      </c>
      <c r="Q100" s="775"/>
      <c r="S100" s="775"/>
      <c r="U100" s="775">
        <f t="shared" ref="U100:U103" si="306">Q100+S100</f>
        <v>0</v>
      </c>
      <c r="W100" s="775"/>
      <c r="Y100" s="775"/>
      <c r="AA100" s="775">
        <f t="shared" ref="AA100:AA103" si="307">W100+Y100</f>
        <v>0</v>
      </c>
      <c r="AC100" s="775"/>
      <c r="AE100" s="775"/>
      <c r="AG100" s="775">
        <f t="shared" ref="AG100:AG103" si="308">AC100+AE100</f>
        <v>0</v>
      </c>
      <c r="AI100" s="775"/>
      <c r="AK100" s="970">
        <v>0</v>
      </c>
      <c r="AM100" s="775"/>
      <c r="AO100" s="775">
        <f t="shared" ref="AO100:AO103" si="309">AI100+AM100</f>
        <v>0</v>
      </c>
      <c r="AQ100" s="775"/>
      <c r="AS100" s="775"/>
      <c r="AU100" s="775">
        <f t="shared" ref="AU100:AU103" si="310">AQ100+AS100</f>
        <v>0</v>
      </c>
      <c r="AW100" s="775"/>
      <c r="AY100" s="775"/>
      <c r="BA100" s="775">
        <f t="shared" ref="BA100:BA103" si="311">AW100+AY100</f>
        <v>0</v>
      </c>
      <c r="BC100" s="775"/>
      <c r="BE100" s="775"/>
      <c r="BG100" s="775">
        <f t="shared" ref="BG100:BG103" si="312">BC100+BE100</f>
        <v>0</v>
      </c>
      <c r="BI100" s="775"/>
      <c r="BK100" s="775"/>
      <c r="BM100" s="775">
        <f t="shared" ref="BM100:BM103" si="313">BI100+BK100</f>
        <v>0</v>
      </c>
      <c r="BO100" s="775"/>
      <c r="BQ100" s="970"/>
      <c r="BS100" s="775"/>
      <c r="BU100" s="775">
        <f t="shared" ref="BU100:BU103" si="314">BO100+BS100</f>
        <v>0</v>
      </c>
      <c r="BW100" s="775"/>
      <c r="BZ100" s="970"/>
      <c r="CB100" s="775"/>
      <c r="CD100" s="970"/>
      <c r="CF100" s="775"/>
      <c r="CH100" s="775">
        <f t="shared" ref="CH100:CH103" si="315">BW100+CF100</f>
        <v>0</v>
      </c>
      <c r="CJ100" s="775"/>
      <c r="CL100" s="775"/>
      <c r="CN100" s="775">
        <f t="shared" ref="CN100:CN103" si="316">CJ100+CL100</f>
        <v>0</v>
      </c>
      <c r="CP100" s="775"/>
      <c r="CR100" s="775"/>
      <c r="CT100" s="775">
        <f t="shared" ref="CT100:CT103" si="317">CP100+CR100</f>
        <v>0</v>
      </c>
      <c r="CV100" s="775"/>
      <c r="CX100" s="775"/>
      <c r="CZ100" s="775">
        <f t="shared" ref="CZ100:CZ103" si="318">CV100+CX100</f>
        <v>0</v>
      </c>
      <c r="DB100" s="775"/>
      <c r="DD100" s="775"/>
      <c r="DF100" s="775">
        <f t="shared" ref="DF100:DF103" si="319">DB100+DD100</f>
        <v>0</v>
      </c>
      <c r="DH100" s="775"/>
      <c r="DJ100" s="775"/>
      <c r="DL100" s="775">
        <f t="shared" ref="DL100:DL103" si="320">DH100+DJ100</f>
        <v>0</v>
      </c>
      <c r="DN100" s="775"/>
      <c r="DP100" s="775"/>
      <c r="DR100" s="775">
        <f t="shared" ref="DR100:DR103" si="321">DN100+DP100</f>
        <v>0</v>
      </c>
      <c r="DT100" s="775"/>
      <c r="DV100" s="971">
        <v>0</v>
      </c>
      <c r="DX100" s="775"/>
      <c r="DZ100" s="775">
        <f t="shared" ref="DZ100:DZ103" si="322">DT100+DX100</f>
        <v>0</v>
      </c>
      <c r="EB100" s="775"/>
      <c r="ED100" s="972">
        <v>0</v>
      </c>
      <c r="EF100" s="775"/>
      <c r="EH100" s="775">
        <f t="shared" ref="EH100:EH103" si="323">EB100+EF100</f>
        <v>0</v>
      </c>
      <c r="EJ100" s="775"/>
      <c r="EL100" s="775"/>
      <c r="EN100" s="775">
        <f t="shared" ref="EN100:EN103" si="324">EJ100+EL100</f>
        <v>0</v>
      </c>
      <c r="EP100" s="775"/>
      <c r="ER100" s="775"/>
      <c r="ET100" s="775">
        <f t="shared" ref="ET100:ET103" si="325">EP100+ER100</f>
        <v>0</v>
      </c>
      <c r="EV100" s="775"/>
      <c r="EX100" s="775"/>
      <c r="EZ100" s="775">
        <f t="shared" ref="EZ100:EZ103" si="326">EV100+EX100</f>
        <v>0</v>
      </c>
      <c r="FB100" s="775">
        <v>0</v>
      </c>
      <c r="FD100" s="775"/>
      <c r="FF100" s="775"/>
      <c r="FH100" s="775"/>
      <c r="FJ100" s="775">
        <f t="shared" ref="FJ100:FJ103" si="327">FF100+FH100</f>
        <v>0</v>
      </c>
      <c r="FL100" s="775"/>
      <c r="FN100" s="775"/>
      <c r="FP100" s="775">
        <f t="shared" ref="FP100:FP103" si="328">FL100+FN100</f>
        <v>0</v>
      </c>
      <c r="FR100" s="775"/>
      <c r="FT100" s="775"/>
      <c r="FV100" s="775">
        <f t="shared" ref="FV100:FV103" si="329">FR100+FT100</f>
        <v>0</v>
      </c>
      <c r="FX100" s="775"/>
      <c r="FZ100" s="775"/>
      <c r="GB100" s="775">
        <f t="shared" ref="GB100:GB103" si="330">FX100+FZ100</f>
        <v>0</v>
      </c>
      <c r="GD100" s="775"/>
      <c r="GF100" s="775"/>
      <c r="GH100" s="775">
        <v>0</v>
      </c>
      <c r="GK100" s="761">
        <f t="shared" ref="GK100:GK104" si="331">O100+U100+AA100+AG100+AO100+AU100+BA100+BG100+BM100+BU100+CH100+CN100+CT100+CZ100+DF100+DL100+DR100+DZ100+EH100+EN100+ET100+EZ100+FJ100+FP100+FV100+GB100</f>
        <v>0</v>
      </c>
      <c r="GL100" s="973">
        <f t="shared" si="304"/>
        <v>0</v>
      </c>
      <c r="GM100" s="761">
        <f t="shared" ref="GM100:GM104" si="332">O100+U100+AA100+AG100+AO100+BA100+BG100+BM100+BU100+CH100+CN100+CT100+DF100+DZ100+EH100+EN100+ET100+EZ100+FJ100+FP100+FV100</f>
        <v>0</v>
      </c>
      <c r="GN100" s="973"/>
    </row>
    <row r="101" spans="1:196">
      <c r="A101" s="758" t="s">
        <v>235</v>
      </c>
      <c r="J101" s="758">
        <v>70</v>
      </c>
      <c r="K101" s="775"/>
      <c r="M101" s="775"/>
      <c r="O101" s="775">
        <f t="shared" si="305"/>
        <v>0</v>
      </c>
      <c r="Q101" s="775"/>
      <c r="S101" s="775"/>
      <c r="U101" s="775">
        <f t="shared" si="306"/>
        <v>0</v>
      </c>
      <c r="W101" s="775"/>
      <c r="Y101" s="775"/>
      <c r="AA101" s="775">
        <f t="shared" si="307"/>
        <v>0</v>
      </c>
      <c r="AC101" s="775"/>
      <c r="AE101" s="775"/>
      <c r="AG101" s="775">
        <f t="shared" si="308"/>
        <v>0</v>
      </c>
      <c r="AI101" s="775"/>
      <c r="AK101" s="970">
        <v>0</v>
      </c>
      <c r="AM101" s="775"/>
      <c r="AO101" s="775">
        <f t="shared" si="309"/>
        <v>0</v>
      </c>
      <c r="AQ101" s="775"/>
      <c r="AS101" s="775"/>
      <c r="AU101" s="775">
        <f t="shared" si="310"/>
        <v>0</v>
      </c>
      <c r="AW101" s="775"/>
      <c r="AY101" s="775"/>
      <c r="BA101" s="775">
        <f t="shared" si="311"/>
        <v>0</v>
      </c>
      <c r="BC101" s="775"/>
      <c r="BE101" s="775"/>
      <c r="BG101" s="775">
        <f t="shared" si="312"/>
        <v>0</v>
      </c>
      <c r="BI101" s="775"/>
      <c r="BK101" s="775"/>
      <c r="BM101" s="775">
        <f t="shared" si="313"/>
        <v>0</v>
      </c>
      <c r="BO101" s="775"/>
      <c r="BQ101" s="970"/>
      <c r="BS101" s="775"/>
      <c r="BU101" s="775">
        <f t="shared" si="314"/>
        <v>0</v>
      </c>
      <c r="BW101" s="775"/>
      <c r="BZ101" s="970"/>
      <c r="CB101" s="775"/>
      <c r="CD101" s="970"/>
      <c r="CF101" s="775"/>
      <c r="CH101" s="775">
        <f t="shared" si="315"/>
        <v>0</v>
      </c>
      <c r="CJ101" s="775"/>
      <c r="CL101" s="775"/>
      <c r="CN101" s="775">
        <f t="shared" si="316"/>
        <v>0</v>
      </c>
      <c r="CP101" s="775"/>
      <c r="CR101" s="775"/>
      <c r="CT101" s="775">
        <f t="shared" si="317"/>
        <v>0</v>
      </c>
      <c r="CV101" s="775"/>
      <c r="CX101" s="775"/>
      <c r="CZ101" s="775">
        <f t="shared" si="318"/>
        <v>0</v>
      </c>
      <c r="DB101" s="775"/>
      <c r="DD101" s="775"/>
      <c r="DF101" s="775">
        <f t="shared" si="319"/>
        <v>0</v>
      </c>
      <c r="DH101" s="775"/>
      <c r="DJ101" s="775"/>
      <c r="DL101" s="775">
        <f t="shared" si="320"/>
        <v>0</v>
      </c>
      <c r="DN101" s="775"/>
      <c r="DP101" s="775"/>
      <c r="DR101" s="775">
        <f t="shared" si="321"/>
        <v>0</v>
      </c>
      <c r="DT101" s="775"/>
      <c r="DV101" s="971">
        <v>0</v>
      </c>
      <c r="DX101" s="775"/>
      <c r="DZ101" s="775">
        <f t="shared" si="322"/>
        <v>0</v>
      </c>
      <c r="EB101" s="775"/>
      <c r="ED101" s="972">
        <v>0</v>
      </c>
      <c r="EF101" s="775"/>
      <c r="EH101" s="775">
        <f t="shared" si="323"/>
        <v>0</v>
      </c>
      <c r="EJ101" s="775"/>
      <c r="EL101" s="775"/>
      <c r="EN101" s="775">
        <f t="shared" si="324"/>
        <v>0</v>
      </c>
      <c r="EP101" s="775"/>
      <c r="ER101" s="775"/>
      <c r="ET101" s="775">
        <f t="shared" si="325"/>
        <v>0</v>
      </c>
      <c r="EV101" s="775"/>
      <c r="EX101" s="775"/>
      <c r="EZ101" s="775">
        <f t="shared" si="326"/>
        <v>0</v>
      </c>
      <c r="FB101" s="775">
        <v>0</v>
      </c>
      <c r="FD101" s="775"/>
      <c r="FF101" s="775"/>
      <c r="FH101" s="775"/>
      <c r="FJ101" s="775">
        <f t="shared" si="327"/>
        <v>0</v>
      </c>
      <c r="FL101" s="775"/>
      <c r="FN101" s="775"/>
      <c r="FP101" s="775">
        <f t="shared" si="328"/>
        <v>0</v>
      </c>
      <c r="FR101" s="775"/>
      <c r="FT101" s="775"/>
      <c r="FV101" s="775">
        <f t="shared" si="329"/>
        <v>0</v>
      </c>
      <c r="FX101" s="775"/>
      <c r="FZ101" s="775"/>
      <c r="GB101" s="775">
        <f t="shared" si="330"/>
        <v>0</v>
      </c>
      <c r="GD101" s="775"/>
      <c r="GF101" s="775"/>
      <c r="GH101" s="775">
        <v>0</v>
      </c>
      <c r="GK101" s="761">
        <f t="shared" si="331"/>
        <v>0</v>
      </c>
      <c r="GL101" s="973">
        <f t="shared" si="304"/>
        <v>0</v>
      </c>
      <c r="GM101" s="761">
        <f t="shared" si="332"/>
        <v>0</v>
      </c>
      <c r="GN101" s="973"/>
    </row>
    <row r="102" spans="1:196">
      <c r="A102" s="758" t="s">
        <v>221</v>
      </c>
      <c r="J102" s="770">
        <v>71</v>
      </c>
      <c r="K102" s="775"/>
      <c r="M102" s="775"/>
      <c r="O102" s="775">
        <f t="shared" si="305"/>
        <v>0</v>
      </c>
      <c r="Q102" s="775"/>
      <c r="S102" s="775"/>
      <c r="U102" s="775">
        <f t="shared" si="306"/>
        <v>0</v>
      </c>
      <c r="W102" s="775"/>
      <c r="Y102" s="775"/>
      <c r="AA102" s="775">
        <f t="shared" si="307"/>
        <v>0</v>
      </c>
      <c r="AC102" s="775"/>
      <c r="AE102" s="775"/>
      <c r="AG102" s="775">
        <f t="shared" si="308"/>
        <v>0</v>
      </c>
      <c r="AI102" s="775"/>
      <c r="AK102" s="970">
        <v>0</v>
      </c>
      <c r="AM102" s="775"/>
      <c r="AO102" s="775">
        <f t="shared" si="309"/>
        <v>0</v>
      </c>
      <c r="AQ102" s="775"/>
      <c r="AS102" s="775"/>
      <c r="AU102" s="775">
        <f t="shared" si="310"/>
        <v>0</v>
      </c>
      <c r="AW102" s="775"/>
      <c r="AY102" s="775"/>
      <c r="BA102" s="775">
        <f t="shared" si="311"/>
        <v>0</v>
      </c>
      <c r="BC102" s="775"/>
      <c r="BE102" s="775"/>
      <c r="BG102" s="775">
        <f t="shared" si="312"/>
        <v>0</v>
      </c>
      <c r="BI102" s="775"/>
      <c r="BK102" s="775"/>
      <c r="BM102" s="775">
        <f t="shared" si="313"/>
        <v>0</v>
      </c>
      <c r="BO102" s="775"/>
      <c r="BQ102" s="970"/>
      <c r="BS102" s="775"/>
      <c r="BU102" s="775">
        <f t="shared" si="314"/>
        <v>0</v>
      </c>
      <c r="BW102" s="775"/>
      <c r="BZ102" s="970"/>
      <c r="CB102" s="775"/>
      <c r="CD102" s="970"/>
      <c r="CF102" s="775"/>
      <c r="CH102" s="775">
        <f t="shared" si="315"/>
        <v>0</v>
      </c>
      <c r="CJ102" s="775"/>
      <c r="CL102" s="775"/>
      <c r="CN102" s="775">
        <f t="shared" si="316"/>
        <v>0</v>
      </c>
      <c r="CP102" s="775"/>
      <c r="CR102" s="775"/>
      <c r="CT102" s="775">
        <f t="shared" si="317"/>
        <v>0</v>
      </c>
      <c r="CV102" s="775"/>
      <c r="CX102" s="775"/>
      <c r="CZ102" s="775">
        <f t="shared" si="318"/>
        <v>0</v>
      </c>
      <c r="DB102" s="775"/>
      <c r="DD102" s="775"/>
      <c r="DF102" s="775">
        <f t="shared" si="319"/>
        <v>0</v>
      </c>
      <c r="DH102" s="775"/>
      <c r="DJ102" s="775"/>
      <c r="DL102" s="775">
        <f t="shared" si="320"/>
        <v>0</v>
      </c>
      <c r="DN102" s="775"/>
      <c r="DP102" s="775"/>
      <c r="DR102" s="775">
        <f t="shared" si="321"/>
        <v>0</v>
      </c>
      <c r="DT102" s="775"/>
      <c r="DV102" s="971">
        <v>0</v>
      </c>
      <c r="DX102" s="775"/>
      <c r="DZ102" s="775">
        <f t="shared" si="322"/>
        <v>0</v>
      </c>
      <c r="EB102" s="775"/>
      <c r="ED102" s="972">
        <v>0</v>
      </c>
      <c r="EF102" s="775"/>
      <c r="EH102" s="775">
        <f t="shared" si="323"/>
        <v>0</v>
      </c>
      <c r="EJ102" s="775"/>
      <c r="EL102" s="775"/>
      <c r="EN102" s="775">
        <f t="shared" si="324"/>
        <v>0</v>
      </c>
      <c r="EP102" s="775"/>
      <c r="ER102" s="775"/>
      <c r="ET102" s="775">
        <f t="shared" si="325"/>
        <v>0</v>
      </c>
      <c r="EV102" s="775"/>
      <c r="EX102" s="775"/>
      <c r="EZ102" s="775">
        <f t="shared" si="326"/>
        <v>0</v>
      </c>
      <c r="FB102" s="775">
        <v>0</v>
      </c>
      <c r="FD102" s="775"/>
      <c r="FF102" s="775"/>
      <c r="FH102" s="775"/>
      <c r="FJ102" s="775">
        <f t="shared" si="327"/>
        <v>0</v>
      </c>
      <c r="FL102" s="775"/>
      <c r="FN102" s="775"/>
      <c r="FP102" s="775">
        <f t="shared" si="328"/>
        <v>0</v>
      </c>
      <c r="FR102" s="775"/>
      <c r="FT102" s="775"/>
      <c r="FV102" s="775">
        <f t="shared" si="329"/>
        <v>0</v>
      </c>
      <c r="FX102" s="775"/>
      <c r="FZ102" s="775"/>
      <c r="GB102" s="775">
        <f t="shared" si="330"/>
        <v>0</v>
      </c>
      <c r="GD102" s="775"/>
      <c r="GF102" s="775"/>
      <c r="GH102" s="775">
        <v>0</v>
      </c>
      <c r="GK102" s="761">
        <f t="shared" si="331"/>
        <v>0</v>
      </c>
      <c r="GL102" s="973">
        <f t="shared" si="304"/>
        <v>0</v>
      </c>
      <c r="GM102" s="761">
        <f t="shared" si="332"/>
        <v>0</v>
      </c>
      <c r="GN102" s="973"/>
    </row>
    <row r="103" spans="1:196">
      <c r="A103" s="758" t="s">
        <v>222</v>
      </c>
      <c r="J103" s="758">
        <v>72</v>
      </c>
      <c r="K103" s="775"/>
      <c r="M103" s="775"/>
      <c r="O103" s="775">
        <f t="shared" si="305"/>
        <v>0</v>
      </c>
      <c r="Q103" s="775"/>
      <c r="S103" s="775"/>
      <c r="U103" s="775">
        <f t="shared" si="306"/>
        <v>0</v>
      </c>
      <c r="W103" s="775"/>
      <c r="Y103" s="775"/>
      <c r="AA103" s="775">
        <f t="shared" si="307"/>
        <v>0</v>
      </c>
      <c r="AC103" s="775"/>
      <c r="AE103" s="775"/>
      <c r="AG103" s="775">
        <f t="shared" si="308"/>
        <v>0</v>
      </c>
      <c r="AI103" s="775">
        <v>901425</v>
      </c>
      <c r="AK103" s="970">
        <v>0</v>
      </c>
      <c r="AM103" s="775"/>
      <c r="AO103" s="775">
        <f t="shared" si="309"/>
        <v>901425</v>
      </c>
      <c r="AQ103" s="775"/>
      <c r="AS103" s="775"/>
      <c r="AU103" s="775">
        <f t="shared" si="310"/>
        <v>0</v>
      </c>
      <c r="AW103" s="775">
        <v>645438</v>
      </c>
      <c r="AY103" s="775"/>
      <c r="BA103" s="775">
        <f t="shared" si="311"/>
        <v>645438</v>
      </c>
      <c r="BC103" s="775">
        <v>357489</v>
      </c>
      <c r="BE103" s="775"/>
      <c r="BG103" s="775">
        <f t="shared" si="312"/>
        <v>357489</v>
      </c>
      <c r="BI103" s="776"/>
      <c r="BK103" s="775"/>
      <c r="BM103" s="775">
        <f t="shared" si="313"/>
        <v>0</v>
      </c>
      <c r="BO103" s="775"/>
      <c r="BQ103" s="970"/>
      <c r="BS103" s="775"/>
      <c r="BU103" s="775">
        <f t="shared" si="314"/>
        <v>0</v>
      </c>
      <c r="BW103" s="776">
        <v>109177</v>
      </c>
      <c r="BZ103" s="970"/>
      <c r="CB103" s="775"/>
      <c r="CD103" s="970"/>
      <c r="CF103" s="775"/>
      <c r="CH103" s="775">
        <f t="shared" si="315"/>
        <v>109177</v>
      </c>
      <c r="CJ103" s="775"/>
      <c r="CL103" s="775"/>
      <c r="CN103" s="775">
        <f t="shared" si="316"/>
        <v>0</v>
      </c>
      <c r="CP103" s="775"/>
      <c r="CR103" s="775"/>
      <c r="CT103" s="775">
        <f t="shared" si="317"/>
        <v>0</v>
      </c>
      <c r="CV103" s="775"/>
      <c r="CX103" s="775"/>
      <c r="CZ103" s="775">
        <f t="shared" si="318"/>
        <v>0</v>
      </c>
      <c r="DB103" s="775"/>
      <c r="DD103" s="775"/>
      <c r="DF103" s="775">
        <f t="shared" si="319"/>
        <v>0</v>
      </c>
      <c r="DH103" s="775"/>
      <c r="DJ103" s="775"/>
      <c r="DL103" s="775">
        <f t="shared" si="320"/>
        <v>0</v>
      </c>
      <c r="DN103" s="775"/>
      <c r="DP103" s="775"/>
      <c r="DR103" s="775">
        <f t="shared" si="321"/>
        <v>0</v>
      </c>
      <c r="DT103" s="776">
        <v>526592</v>
      </c>
      <c r="DV103" s="971">
        <v>0</v>
      </c>
      <c r="DX103" s="775"/>
      <c r="DZ103" s="775">
        <f t="shared" si="322"/>
        <v>526592</v>
      </c>
      <c r="EB103" s="775"/>
      <c r="ED103" s="972">
        <v>0</v>
      </c>
      <c r="EF103" s="775"/>
      <c r="EH103" s="775">
        <f t="shared" si="323"/>
        <v>0</v>
      </c>
      <c r="EJ103" s="776"/>
      <c r="EL103" s="775"/>
      <c r="EN103" s="775">
        <f t="shared" si="324"/>
        <v>0</v>
      </c>
      <c r="EP103" s="776">
        <v>5752404</v>
      </c>
      <c r="ER103" s="775"/>
      <c r="ET103" s="775">
        <f t="shared" si="325"/>
        <v>5752404</v>
      </c>
      <c r="EV103" s="775"/>
      <c r="EX103" s="775"/>
      <c r="EZ103" s="775">
        <f t="shared" si="326"/>
        <v>0</v>
      </c>
      <c r="FB103" s="775"/>
      <c r="FD103" s="775"/>
      <c r="FF103" s="776"/>
      <c r="FH103" s="775"/>
      <c r="FJ103" s="775">
        <f t="shared" si="327"/>
        <v>0</v>
      </c>
      <c r="FL103" s="776"/>
      <c r="FN103" s="775"/>
      <c r="FP103" s="775">
        <f t="shared" si="328"/>
        <v>0</v>
      </c>
      <c r="FR103" s="776">
        <v>158054</v>
      </c>
      <c r="FT103" s="775"/>
      <c r="FV103" s="775">
        <f t="shared" si="329"/>
        <v>158054</v>
      </c>
      <c r="FX103" s="775"/>
      <c r="FZ103" s="775"/>
      <c r="GB103" s="775">
        <f t="shared" si="330"/>
        <v>0</v>
      </c>
      <c r="GD103" s="775"/>
      <c r="GF103" s="775"/>
      <c r="GH103" s="775">
        <v>0</v>
      </c>
      <c r="GK103" s="761">
        <f t="shared" si="331"/>
        <v>8450579</v>
      </c>
      <c r="GL103" s="973">
        <f t="shared" si="304"/>
        <v>8450.5789999999997</v>
      </c>
      <c r="GM103" s="761">
        <f t="shared" si="332"/>
        <v>8450579</v>
      </c>
      <c r="GN103" s="973"/>
    </row>
    <row r="104" spans="1:196">
      <c r="B104" s="766" t="s">
        <v>223</v>
      </c>
      <c r="J104" s="770">
        <v>73</v>
      </c>
      <c r="K104" s="777">
        <f>SUM(K100:K103)</f>
        <v>0</v>
      </c>
      <c r="M104" s="777">
        <f>SUM(M100:M103)</f>
        <v>0</v>
      </c>
      <c r="O104" s="777">
        <f>SUM(O100:O103)</f>
        <v>0</v>
      </c>
      <c r="Q104" s="777">
        <f>SUM(Q100:Q103)</f>
        <v>0</v>
      </c>
      <c r="S104" s="777">
        <f>SUM(S100:S103)</f>
        <v>0</v>
      </c>
      <c r="U104" s="777">
        <f>SUM(U100:U103)</f>
        <v>0</v>
      </c>
      <c r="W104" s="777">
        <f>SUM(W100:W103)</f>
        <v>0</v>
      </c>
      <c r="Y104" s="777">
        <f>SUM(Y100:Y103)</f>
        <v>0</v>
      </c>
      <c r="AA104" s="777">
        <f>SUM(AA100:AA103)</f>
        <v>0</v>
      </c>
      <c r="AC104" s="777">
        <f>SUM(AC100:AC103)</f>
        <v>0</v>
      </c>
      <c r="AE104" s="777">
        <f>SUM(AE100:AE103)</f>
        <v>0</v>
      </c>
      <c r="AG104" s="777">
        <f>SUM(AG100:AG103)</f>
        <v>0</v>
      </c>
      <c r="AI104" s="777">
        <f>SUM(AI100:AI103)</f>
        <v>901425</v>
      </c>
      <c r="AK104" s="974">
        <f>SUM(AK100:AK103)</f>
        <v>0</v>
      </c>
      <c r="AM104" s="777">
        <f>SUM(AM100:AM103)</f>
        <v>0</v>
      </c>
      <c r="AO104" s="777">
        <f>SUM(AO100:AO103)</f>
        <v>901425</v>
      </c>
      <c r="AQ104" s="777">
        <f>SUM(AQ100:AQ103)</f>
        <v>0</v>
      </c>
      <c r="AS104" s="777">
        <f>SUM(AS100:AS103)</f>
        <v>0</v>
      </c>
      <c r="AU104" s="777">
        <f>SUM(AU100:AU103)</f>
        <v>0</v>
      </c>
      <c r="AW104" s="777">
        <f>SUM(AW100:AW103)</f>
        <v>645438</v>
      </c>
      <c r="AY104" s="777">
        <f>SUM(AY100:AY103)</f>
        <v>0</v>
      </c>
      <c r="BA104" s="777">
        <f>SUM(BA100:BA103)</f>
        <v>645438</v>
      </c>
      <c r="BC104" s="777">
        <f>SUM(BC100:BC103)</f>
        <v>357489</v>
      </c>
      <c r="BE104" s="777">
        <f>SUM(BE100:BE103)</f>
        <v>0</v>
      </c>
      <c r="BG104" s="777">
        <f>SUM(BG100:BG103)</f>
        <v>357489</v>
      </c>
      <c r="BI104" s="777">
        <f>SUM(BI100:BI103)</f>
        <v>0</v>
      </c>
      <c r="BK104" s="777">
        <f>SUM(BK100:BK103)</f>
        <v>0</v>
      </c>
      <c r="BM104" s="777">
        <f>SUM(BM100:BM103)</f>
        <v>0</v>
      </c>
      <c r="BO104" s="777">
        <f>SUM(BO100:BO103)</f>
        <v>0</v>
      </c>
      <c r="BQ104" s="974">
        <f>SUM(BQ100:BQ103)</f>
        <v>0</v>
      </c>
      <c r="BS104" s="777">
        <f>SUM(BS100:BS103)</f>
        <v>0</v>
      </c>
      <c r="BU104" s="777">
        <f>SUM(BU100:BU103)</f>
        <v>0</v>
      </c>
      <c r="BW104" s="777">
        <f>SUM(BW100:BW103)</f>
        <v>109177</v>
      </c>
      <c r="BZ104" s="974">
        <f>SUM(BZ100:BZ103)</f>
        <v>0</v>
      </c>
      <c r="CB104" s="777">
        <f>SUM(CB100:CB103)</f>
        <v>0</v>
      </c>
      <c r="CD104" s="974">
        <f>SUM(CD100:CD103)</f>
        <v>0</v>
      </c>
      <c r="CF104" s="777">
        <f>SUM(CF100:CF103)</f>
        <v>0</v>
      </c>
      <c r="CH104" s="777">
        <f>SUM(CH100:CH103)</f>
        <v>109177</v>
      </c>
      <c r="CJ104" s="777">
        <f>SUM(CJ100:CJ103)</f>
        <v>0</v>
      </c>
      <c r="CL104" s="777">
        <f>SUM(CL100:CL103)</f>
        <v>0</v>
      </c>
      <c r="CN104" s="777">
        <f>SUM(CN100:CN103)</f>
        <v>0</v>
      </c>
      <c r="CP104" s="777">
        <f>SUM(CP100:CP103)</f>
        <v>0</v>
      </c>
      <c r="CR104" s="777">
        <f>SUM(CR100:CR103)</f>
        <v>0</v>
      </c>
      <c r="CT104" s="777">
        <f>SUM(CT100:CT103)</f>
        <v>0</v>
      </c>
      <c r="CV104" s="777">
        <f>SUM(CV100:CV103)</f>
        <v>0</v>
      </c>
      <c r="CX104" s="777">
        <f>SUM(CX100:CX103)</f>
        <v>0</v>
      </c>
      <c r="CZ104" s="777">
        <f>SUM(CZ100:CZ103)</f>
        <v>0</v>
      </c>
      <c r="DB104" s="777">
        <f>SUM(DB100:DB103)</f>
        <v>0</v>
      </c>
      <c r="DD104" s="777">
        <f>SUM(DD100:DD103)</f>
        <v>0</v>
      </c>
      <c r="DF104" s="777">
        <f>SUM(DF100:DF103)</f>
        <v>0</v>
      </c>
      <c r="DH104" s="777">
        <f>SUM(DH100:DH103)</f>
        <v>0</v>
      </c>
      <c r="DJ104" s="777">
        <f>SUM(DJ100:DJ103)</f>
        <v>0</v>
      </c>
      <c r="DL104" s="777">
        <f>SUM(DL100:DL103)</f>
        <v>0</v>
      </c>
      <c r="DN104" s="777">
        <f>SUM(DN100:DN103)</f>
        <v>0</v>
      </c>
      <c r="DP104" s="777">
        <f>SUM(DP100:DP103)</f>
        <v>0</v>
      </c>
      <c r="DR104" s="777">
        <f>SUM(DR100:DR103)</f>
        <v>0</v>
      </c>
      <c r="DT104" s="777">
        <f>SUM(DT100:DT103)</f>
        <v>526592</v>
      </c>
      <c r="DV104" s="975">
        <f>SUM(DV100:DV103)</f>
        <v>0</v>
      </c>
      <c r="DX104" s="777">
        <f>SUM(DX100:DX103)</f>
        <v>0</v>
      </c>
      <c r="DZ104" s="777">
        <f>SUM(DZ100:DZ103)</f>
        <v>526592</v>
      </c>
      <c r="EB104" s="777">
        <f>SUM(EB100:EB103)</f>
        <v>0</v>
      </c>
      <c r="ED104" s="976">
        <f>SUM(ED100:ED103)</f>
        <v>0</v>
      </c>
      <c r="EF104" s="777">
        <f>SUM(EF100:EF103)</f>
        <v>0</v>
      </c>
      <c r="EH104" s="777">
        <f>SUM(EH100:EH103)</f>
        <v>0</v>
      </c>
      <c r="EJ104" s="777">
        <f>SUM(EJ100:EJ103)</f>
        <v>0</v>
      </c>
      <c r="EL104" s="777">
        <f>SUM(EL100:EL103)</f>
        <v>0</v>
      </c>
      <c r="EN104" s="777">
        <f>SUM(EN100:EN103)</f>
        <v>0</v>
      </c>
      <c r="EP104" s="777">
        <f>SUM(EP100:EP103)</f>
        <v>5752404</v>
      </c>
      <c r="ER104" s="777">
        <f>SUM(ER100:ER103)</f>
        <v>0</v>
      </c>
      <c r="ET104" s="777">
        <f>SUM(ET100:ET103)</f>
        <v>5752404</v>
      </c>
      <c r="EV104" s="777">
        <f>SUM(EV100:EV103)</f>
        <v>0</v>
      </c>
      <c r="EX104" s="777">
        <f>SUM(EX100:EX103)</f>
        <v>0</v>
      </c>
      <c r="EZ104" s="777">
        <f>SUM(EZ100:EZ103)</f>
        <v>0</v>
      </c>
      <c r="FB104" s="777">
        <f>SUM(FB100:FB103)</f>
        <v>0</v>
      </c>
      <c r="FD104" s="777">
        <f>SUM(FD100:FD103)</f>
        <v>0</v>
      </c>
      <c r="FF104" s="777">
        <f>SUM(FF100:FF103)</f>
        <v>0</v>
      </c>
      <c r="FH104" s="777">
        <f>SUM(FH100:FH103)</f>
        <v>0</v>
      </c>
      <c r="FJ104" s="777">
        <f>SUM(FJ100:FJ103)</f>
        <v>0</v>
      </c>
      <c r="FL104" s="777">
        <f>SUM(FL100:FL103)</f>
        <v>0</v>
      </c>
      <c r="FN104" s="777">
        <f>SUM(FN100:FN103)</f>
        <v>0</v>
      </c>
      <c r="FP104" s="777">
        <f>SUM(FP100:FP103)</f>
        <v>0</v>
      </c>
      <c r="FR104" s="777">
        <f>SUM(FR100:FR103)</f>
        <v>158054</v>
      </c>
      <c r="FT104" s="777">
        <f>SUM(FT100:FT103)</f>
        <v>0</v>
      </c>
      <c r="FV104" s="777">
        <f>SUM(FV100:FV103)</f>
        <v>158054</v>
      </c>
      <c r="FX104" s="777">
        <f>SUM(FX100:FX103)</f>
        <v>0</v>
      </c>
      <c r="FZ104" s="777">
        <f>SUM(FZ100:FZ103)</f>
        <v>0</v>
      </c>
      <c r="GB104" s="777">
        <f>SUM(GB100:GB103)</f>
        <v>0</v>
      </c>
      <c r="GD104" s="777">
        <v>0</v>
      </c>
      <c r="GF104" s="777">
        <v>0</v>
      </c>
      <c r="GH104" s="777">
        <v>0</v>
      </c>
      <c r="GK104" s="761">
        <f t="shared" si="331"/>
        <v>8450579</v>
      </c>
      <c r="GL104" s="973">
        <f t="shared" si="304"/>
        <v>8450.5789999999997</v>
      </c>
      <c r="GM104" s="761">
        <f t="shared" si="332"/>
        <v>8450579</v>
      </c>
      <c r="GN104" s="973"/>
    </row>
    <row r="105" spans="1:196">
      <c r="J105" s="758">
        <v>74</v>
      </c>
      <c r="BQ105" s="952"/>
      <c r="BW105" s="761"/>
      <c r="BZ105" s="952"/>
      <c r="CB105" s="761"/>
      <c r="CD105" s="952"/>
      <c r="CP105" s="761"/>
      <c r="CV105" s="761"/>
      <c r="DB105" s="761"/>
      <c r="DH105" s="761"/>
      <c r="DN105" s="761"/>
      <c r="DT105" s="761"/>
      <c r="DV105" s="977"/>
      <c r="EB105" s="761"/>
      <c r="ED105" s="978"/>
      <c r="EJ105" s="761"/>
      <c r="EP105" s="761"/>
      <c r="EV105" s="761"/>
      <c r="FB105" s="761"/>
      <c r="FD105" s="761"/>
      <c r="GL105" s="973">
        <f t="shared" si="304"/>
        <v>0</v>
      </c>
      <c r="GN105" s="973"/>
    </row>
    <row r="106" spans="1:196" ht="12">
      <c r="A106" s="979" t="s">
        <v>1694</v>
      </c>
      <c r="I106" s="770" t="s">
        <v>1724</v>
      </c>
      <c r="J106" s="770">
        <v>75</v>
      </c>
      <c r="K106" s="775"/>
      <c r="M106" s="775"/>
      <c r="O106" s="775">
        <f t="shared" ref="O106" si="333">K106+M106</f>
        <v>0</v>
      </c>
      <c r="Q106" s="775"/>
      <c r="S106" s="775"/>
      <c r="U106" s="775">
        <f t="shared" ref="U106" si="334">Q106+S106</f>
        <v>0</v>
      </c>
      <c r="W106" s="775"/>
      <c r="Y106" s="775"/>
      <c r="AA106" s="775">
        <f t="shared" ref="AA106" si="335">W106+Y106</f>
        <v>0</v>
      </c>
      <c r="AC106" s="775"/>
      <c r="AE106" s="775"/>
      <c r="AG106" s="775">
        <f t="shared" ref="AG106" si="336">AC106+AE106</f>
        <v>0</v>
      </c>
      <c r="AI106" s="775"/>
      <c r="AK106" s="970">
        <v>0</v>
      </c>
      <c r="AM106" s="775"/>
      <c r="AO106" s="775">
        <f t="shared" ref="AO106" si="337">AI106+AM106</f>
        <v>0</v>
      </c>
      <c r="AQ106" s="775"/>
      <c r="AS106" s="775"/>
      <c r="AU106" s="775">
        <f t="shared" ref="AU106" si="338">AQ106+AS106</f>
        <v>0</v>
      </c>
      <c r="AW106" s="775"/>
      <c r="AY106" s="775"/>
      <c r="BA106" s="775">
        <f t="shared" ref="BA106" si="339">AW106+AY106</f>
        <v>0</v>
      </c>
      <c r="BC106" s="775"/>
      <c r="BE106" s="775"/>
      <c r="BG106" s="775">
        <f t="shared" ref="BG106" si="340">BC106+BE106</f>
        <v>0</v>
      </c>
      <c r="BI106" s="775"/>
      <c r="BK106" s="775"/>
      <c r="BM106" s="775">
        <f t="shared" ref="BM106" si="341">BI106+BK106</f>
        <v>0</v>
      </c>
      <c r="BO106" s="775"/>
      <c r="BQ106" s="970"/>
      <c r="BS106" s="775"/>
      <c r="BU106" s="775">
        <f t="shared" ref="BU106" si="342">BO106+BS106</f>
        <v>0</v>
      </c>
      <c r="BW106" s="775"/>
      <c r="BZ106" s="970"/>
      <c r="CB106" s="775"/>
      <c r="CD106" s="970"/>
      <c r="CF106" s="775"/>
      <c r="CH106" s="775">
        <f t="shared" ref="CH106" si="343">BW106+CF106</f>
        <v>0</v>
      </c>
      <c r="CJ106" s="775"/>
      <c r="CL106" s="775"/>
      <c r="CN106" s="775">
        <f t="shared" ref="CN106" si="344">CJ106+CL106</f>
        <v>0</v>
      </c>
      <c r="CP106" s="775"/>
      <c r="CR106" s="775"/>
      <c r="CT106" s="775">
        <f t="shared" ref="CT106" si="345">CP106+CR106</f>
        <v>0</v>
      </c>
      <c r="CV106" s="775"/>
      <c r="CX106" s="775"/>
      <c r="CZ106" s="775">
        <f t="shared" ref="CZ106" si="346">CV106+CX106</f>
        <v>0</v>
      </c>
      <c r="DB106" s="775"/>
      <c r="DD106" s="775"/>
      <c r="DF106" s="775">
        <f t="shared" ref="DF106" si="347">DB106+DD106</f>
        <v>0</v>
      </c>
      <c r="DH106" s="775"/>
      <c r="DJ106" s="775"/>
      <c r="DL106" s="775">
        <f t="shared" ref="DL106" si="348">DH106+DJ106</f>
        <v>0</v>
      </c>
      <c r="DN106" s="775"/>
      <c r="DP106" s="775"/>
      <c r="DR106" s="775">
        <f t="shared" ref="DR106" si="349">DN106+DP106</f>
        <v>0</v>
      </c>
      <c r="DT106" s="775"/>
      <c r="DV106" s="971">
        <v>0</v>
      </c>
      <c r="DX106" s="775"/>
      <c r="DZ106" s="775">
        <f t="shared" ref="DZ106" si="350">DT106+DX106</f>
        <v>0</v>
      </c>
      <c r="EB106" s="980"/>
      <c r="ED106" s="972"/>
      <c r="EF106" s="775"/>
      <c r="EH106" s="775">
        <f t="shared" ref="EH106" si="351">EB106+EF106</f>
        <v>0</v>
      </c>
      <c r="EJ106" s="779"/>
      <c r="EL106" s="775">
        <v>4409954469</v>
      </c>
      <c r="EN106" s="775">
        <f t="shared" ref="EN106" si="352">EJ106+EL106</f>
        <v>4409954469</v>
      </c>
      <c r="EP106" s="775"/>
      <c r="ER106" s="775">
        <v>6671769938</v>
      </c>
      <c r="ET106" s="775">
        <f t="shared" ref="ET106" si="353">EP106+ER106</f>
        <v>6671769938</v>
      </c>
      <c r="EV106" s="775"/>
      <c r="EX106" s="775"/>
      <c r="EZ106" s="775">
        <f t="shared" ref="EZ106" si="354">EV106+EX106</f>
        <v>0</v>
      </c>
      <c r="FB106" s="775"/>
      <c r="FD106" s="775"/>
      <c r="FF106" s="775"/>
      <c r="FH106" s="775">
        <v>3746178559</v>
      </c>
      <c r="FJ106" s="775">
        <f t="shared" ref="FJ106" si="355">FF106+FH106</f>
        <v>3746178559</v>
      </c>
      <c r="FL106" s="775"/>
      <c r="FN106" s="775"/>
      <c r="FP106" s="775">
        <f t="shared" ref="FP106" si="356">FL106+FN106</f>
        <v>0</v>
      </c>
      <c r="FR106" s="775"/>
      <c r="FT106" s="775"/>
      <c r="FV106" s="775">
        <f t="shared" ref="FV106" si="357">FR106+FT106</f>
        <v>0</v>
      </c>
      <c r="FX106" s="775"/>
      <c r="FZ106" s="775"/>
      <c r="GB106" s="775">
        <f t="shared" ref="GB106" si="358">FX106+FZ106</f>
        <v>0</v>
      </c>
      <c r="GD106" s="775"/>
      <c r="GF106" s="775"/>
      <c r="GH106" s="775">
        <v>0</v>
      </c>
      <c r="GK106" s="761">
        <f t="shared" ref="GK106" si="359">O106+U106+AA106+AG106+AO106+AU106+BA106+BG106+BM106+BU106+CH106+CN106+CT106+CZ106+DF106+DL106+DR106+DZ106+EH106+EN106+ET106+EZ106+FJ106+FP106+FV106+GB106</f>
        <v>14827902966</v>
      </c>
      <c r="GL106" s="973">
        <f t="shared" si="304"/>
        <v>14827902.966</v>
      </c>
      <c r="GM106" s="761">
        <f>O106+U106+AA106+AG106+AO106+BA106+BG106+BM106+BU106+CH106+CN106+CT106+DF106+DZ106+EH106+EN106+ET106+EZ106+FJ106+FP106+FV106</f>
        <v>14827902966</v>
      </c>
      <c r="GN106" s="973"/>
    </row>
    <row r="107" spans="1:196" ht="12">
      <c r="J107" s="758">
        <v>76</v>
      </c>
      <c r="BQ107" s="952"/>
      <c r="BW107" s="761"/>
      <c r="BZ107" s="952"/>
      <c r="CB107" s="761"/>
      <c r="CD107" s="952"/>
      <c r="CP107" s="761"/>
      <c r="CV107" s="761"/>
      <c r="DB107" s="761"/>
      <c r="DH107" s="761"/>
      <c r="DN107" s="761"/>
      <c r="DT107" s="761"/>
      <c r="DV107" s="977"/>
      <c r="EB107" s="981"/>
      <c r="ED107" s="978"/>
      <c r="EJ107" s="761"/>
      <c r="EP107" s="761"/>
      <c r="EV107" s="761"/>
      <c r="FB107" s="761"/>
      <c r="FD107" s="761"/>
      <c r="GL107" s="973">
        <f t="shared" si="304"/>
        <v>0</v>
      </c>
      <c r="GN107" s="973"/>
    </row>
    <row r="108" spans="1:196" ht="12">
      <c r="A108" s="766" t="s">
        <v>224</v>
      </c>
      <c r="J108" s="770">
        <v>77</v>
      </c>
      <c r="K108" s="775"/>
      <c r="M108" s="775"/>
      <c r="O108" s="775">
        <f t="shared" ref="O108" si="360">K108+M108</f>
        <v>0</v>
      </c>
      <c r="Q108" s="775">
        <v>6951651</v>
      </c>
      <c r="S108" s="775"/>
      <c r="U108" s="775">
        <f t="shared" ref="U108" si="361">Q108+S108</f>
        <v>6951651</v>
      </c>
      <c r="W108" s="775"/>
      <c r="Y108" s="775"/>
      <c r="AA108" s="775">
        <f t="shared" ref="AA108" si="362">W108+Y108</f>
        <v>0</v>
      </c>
      <c r="AC108" s="775"/>
      <c r="AE108" s="775"/>
      <c r="AG108" s="775">
        <f t="shared" ref="AG108" si="363">AC108+AE108</f>
        <v>0</v>
      </c>
      <c r="AI108" s="775"/>
      <c r="AK108" s="970">
        <v>0</v>
      </c>
      <c r="AM108" s="775"/>
      <c r="AO108" s="775">
        <f t="shared" ref="AO108" si="364">AI108+AM108</f>
        <v>0</v>
      </c>
      <c r="AQ108" s="775"/>
      <c r="AS108" s="775"/>
      <c r="AU108" s="775">
        <f t="shared" ref="AU108" si="365">AQ108+AS108</f>
        <v>0</v>
      </c>
      <c r="AW108" s="775"/>
      <c r="AY108" s="775"/>
      <c r="BA108" s="775">
        <f t="shared" ref="BA108" si="366">AW108+AY108</f>
        <v>0</v>
      </c>
      <c r="BC108" s="775">
        <v>811100</v>
      </c>
      <c r="BE108" s="775"/>
      <c r="BG108" s="775">
        <f t="shared" ref="BG108" si="367">BC108+BE108</f>
        <v>811100</v>
      </c>
      <c r="BI108" s="775"/>
      <c r="BK108" s="775"/>
      <c r="BM108" s="775">
        <f t="shared" ref="BM108" si="368">BI108+BK108</f>
        <v>0</v>
      </c>
      <c r="BO108" s="775"/>
      <c r="BQ108" s="970"/>
      <c r="BS108" s="775"/>
      <c r="BU108" s="775">
        <f t="shared" ref="BU108" si="369">BO108+BS108</f>
        <v>0</v>
      </c>
      <c r="BW108" s="775">
        <v>239994</v>
      </c>
      <c r="BZ108" s="970"/>
      <c r="CB108" s="775"/>
      <c r="CD108" s="970"/>
      <c r="CF108" s="775"/>
      <c r="CH108" s="775">
        <f t="shared" ref="CH108" si="370">BW108+CF108</f>
        <v>239994</v>
      </c>
      <c r="CJ108" s="775"/>
      <c r="CL108" s="775"/>
      <c r="CN108" s="775">
        <f t="shared" ref="CN108" si="371">CJ108+CL108</f>
        <v>0</v>
      </c>
      <c r="CP108" s="775"/>
      <c r="CR108" s="775"/>
      <c r="CT108" s="775">
        <f t="shared" ref="CT108" si="372">CP108+CR108</f>
        <v>0</v>
      </c>
      <c r="CV108" s="775"/>
      <c r="CX108" s="775"/>
      <c r="CZ108" s="775">
        <f t="shared" ref="CZ108" si="373">CV108+CX108</f>
        <v>0</v>
      </c>
      <c r="DB108" s="775">
        <v>704446000</v>
      </c>
      <c r="DD108" s="775"/>
      <c r="DF108" s="775">
        <f t="shared" ref="DF108" si="374">DB108+DD108</f>
        <v>704446000</v>
      </c>
      <c r="DH108" s="775"/>
      <c r="DJ108" s="775"/>
      <c r="DL108" s="775">
        <f t="shared" ref="DL108" si="375">DH108+DJ108</f>
        <v>0</v>
      </c>
      <c r="DN108" s="775"/>
      <c r="DP108" s="775"/>
      <c r="DR108" s="775">
        <f t="shared" ref="DR108" si="376">DN108+DP108</f>
        <v>0</v>
      </c>
      <c r="DT108" s="775">
        <v>4027475</v>
      </c>
      <c r="DV108" s="971">
        <v>0</v>
      </c>
      <c r="DX108" s="775"/>
      <c r="DZ108" s="775">
        <f t="shared" ref="DZ108" si="377">DT108+DX108</f>
        <v>4027475</v>
      </c>
      <c r="EB108" s="980">
        <v>18515311</v>
      </c>
      <c r="ED108" s="972"/>
      <c r="EF108" s="775"/>
      <c r="EH108" s="775">
        <f t="shared" ref="EH108" si="378">EB108+EF108</f>
        <v>18515311</v>
      </c>
      <c r="EJ108" s="779"/>
      <c r="EL108" s="775"/>
      <c r="EN108" s="775">
        <f t="shared" ref="EN108" si="379">EJ108+EL108</f>
        <v>0</v>
      </c>
      <c r="EP108" s="775">
        <v>2945735</v>
      </c>
      <c r="ER108" s="775"/>
      <c r="ET108" s="775">
        <f t="shared" ref="ET108" si="380">EP108+ER108</f>
        <v>2945735</v>
      </c>
      <c r="EV108" s="775">
        <v>481492456</v>
      </c>
      <c r="EX108" s="775"/>
      <c r="EZ108" s="775">
        <f t="shared" ref="EZ108" si="381">EV108+EX108</f>
        <v>481492456</v>
      </c>
      <c r="FB108" s="775"/>
      <c r="FD108" s="775"/>
      <c r="FF108" s="775"/>
      <c r="FH108" s="775"/>
      <c r="FJ108" s="775">
        <f t="shared" ref="FJ108" si="382">FF108+FH108</f>
        <v>0</v>
      </c>
      <c r="FL108" s="775"/>
      <c r="FN108" s="775"/>
      <c r="FP108" s="775">
        <f t="shared" ref="FP108" si="383">FL108+FN108</f>
        <v>0</v>
      </c>
      <c r="FR108" s="775">
        <v>592616379</v>
      </c>
      <c r="FT108" s="775">
        <v>-1054682</v>
      </c>
      <c r="FV108" s="775">
        <f t="shared" ref="FV108" si="384">FR108+FT108</f>
        <v>591561697</v>
      </c>
      <c r="FX108" s="775">
        <v>1384765</v>
      </c>
      <c r="FZ108" s="775"/>
      <c r="GB108" s="775">
        <f t="shared" ref="GB108" si="385">FX108+FZ108</f>
        <v>1384765</v>
      </c>
      <c r="GD108" s="775"/>
      <c r="GF108" s="775"/>
      <c r="GH108" s="775">
        <v>0</v>
      </c>
      <c r="GK108" s="761">
        <f t="shared" ref="GK108" si="386">O108+U108+AA108+AG108+AO108+AU108+BA108+BG108+BM108+BU108+CH108+CN108+CT108+CZ108+DF108+DL108+DR108+DZ108+EH108+EN108+ET108+EZ108+FJ108+FP108+FV108+GB108</f>
        <v>1812376184</v>
      </c>
      <c r="GL108" s="973">
        <f t="shared" si="304"/>
        <v>1812376.1839999999</v>
      </c>
      <c r="GM108" s="761">
        <f>O108+U108+AA108+AG108+AO108+BA108+BG108+BM108+BU108+CH108+CN108+CT108+DF108+DZ108+EH108+EN108+ET108+EZ108+FJ108+FP108+FV108</f>
        <v>1810991419</v>
      </c>
      <c r="GN108" s="973"/>
    </row>
    <row r="109" spans="1:196" ht="12">
      <c r="J109" s="758">
        <v>78</v>
      </c>
      <c r="BQ109" s="952"/>
      <c r="BW109" s="761"/>
      <c r="BZ109" s="952"/>
      <c r="CB109" s="761"/>
      <c r="CD109" s="952"/>
      <c r="CP109" s="761"/>
      <c r="CV109" s="761"/>
      <c r="DB109" s="761"/>
      <c r="DH109" s="761"/>
      <c r="DN109" s="761"/>
      <c r="DT109" s="761"/>
      <c r="DV109" s="977"/>
      <c r="EB109" s="981"/>
      <c r="ED109" s="978"/>
      <c r="EJ109" s="761"/>
      <c r="EP109" s="761"/>
      <c r="EV109" s="761"/>
      <c r="FB109" s="761"/>
      <c r="FD109" s="761"/>
      <c r="GL109" s="973">
        <f t="shared" si="304"/>
        <v>0</v>
      </c>
      <c r="GN109" s="973"/>
    </row>
    <row r="110" spans="1:196" ht="12">
      <c r="A110" s="766" t="s">
        <v>1384</v>
      </c>
      <c r="J110" s="770">
        <v>79</v>
      </c>
      <c r="K110" s="775"/>
      <c r="M110" s="775"/>
      <c r="O110" s="775">
        <f t="shared" ref="O110" si="387">K110+M110</f>
        <v>0</v>
      </c>
      <c r="Q110" s="775">
        <v>1893778</v>
      </c>
      <c r="S110" s="775"/>
      <c r="U110" s="775">
        <f t="shared" ref="U110" si="388">Q110+S110</f>
        <v>1893778</v>
      </c>
      <c r="W110" s="775"/>
      <c r="Y110" s="775"/>
      <c r="AA110" s="775">
        <f t="shared" ref="AA110" si="389">W110+Y110</f>
        <v>0</v>
      </c>
      <c r="AC110" s="775"/>
      <c r="AE110" s="775"/>
      <c r="AG110" s="775">
        <f t="shared" ref="AG110" si="390">AC110+AE110</f>
        <v>0</v>
      </c>
      <c r="AI110" s="775">
        <v>17970337</v>
      </c>
      <c r="AK110" s="970">
        <v>0</v>
      </c>
      <c r="AM110" s="775"/>
      <c r="AO110" s="775">
        <f t="shared" ref="AO110" si="391">AI110+AM110</f>
        <v>17970337</v>
      </c>
      <c r="AQ110" s="775"/>
      <c r="AS110" s="775"/>
      <c r="AU110" s="775">
        <f t="shared" ref="AU110" si="392">AQ110+AS110</f>
        <v>0</v>
      </c>
      <c r="AW110" s="775"/>
      <c r="AY110" s="775"/>
      <c r="BA110" s="775">
        <f t="shared" ref="BA110" si="393">AW110+AY110</f>
        <v>0</v>
      </c>
      <c r="BC110" s="775">
        <v>474538</v>
      </c>
      <c r="BE110" s="775"/>
      <c r="BG110" s="775">
        <f t="shared" ref="BG110" si="394">BC110+BE110</f>
        <v>474538</v>
      </c>
      <c r="BI110" s="775"/>
      <c r="BK110" s="775"/>
      <c r="BM110" s="775">
        <f t="shared" ref="BM110" si="395">BI110+BK110</f>
        <v>0</v>
      </c>
      <c r="BO110" s="775">
        <v>163360</v>
      </c>
      <c r="BQ110" s="970"/>
      <c r="BS110" s="775"/>
      <c r="BU110" s="775">
        <f t="shared" ref="BU110" si="396">BO110+BS110</f>
        <v>163360</v>
      </c>
      <c r="BW110" s="775">
        <v>430400</v>
      </c>
      <c r="BZ110" s="970"/>
      <c r="CB110" s="775"/>
      <c r="CD110" s="970"/>
      <c r="CF110" s="775"/>
      <c r="CH110" s="775">
        <f t="shared" ref="CH110" si="397">BW110+CF110</f>
        <v>430400</v>
      </c>
      <c r="CJ110" s="775"/>
      <c r="CL110" s="775"/>
      <c r="CN110" s="775">
        <f t="shared" ref="CN110" si="398">CJ110+CL110</f>
        <v>0</v>
      </c>
      <c r="CP110" s="775">
        <v>401661</v>
      </c>
      <c r="CR110" s="775"/>
      <c r="CT110" s="775">
        <f t="shared" ref="CT110" si="399">CP110+CR110</f>
        <v>401661</v>
      </c>
      <c r="CV110" s="775">
        <v>84197</v>
      </c>
      <c r="CX110" s="775"/>
      <c r="CZ110" s="775">
        <f t="shared" ref="CZ110" si="400">CV110+CX110</f>
        <v>84197</v>
      </c>
      <c r="DB110" s="775">
        <v>1307905000</v>
      </c>
      <c r="DD110" s="775"/>
      <c r="DF110" s="775">
        <f t="shared" ref="DF110" si="401">DB110+DD110</f>
        <v>1307905000</v>
      </c>
      <c r="DH110" s="776">
        <v>31571</v>
      </c>
      <c r="DJ110" s="775"/>
      <c r="DL110" s="775">
        <f t="shared" ref="DL110" si="402">DH110+DJ110</f>
        <v>31571</v>
      </c>
      <c r="DN110" s="775">
        <v>4481</v>
      </c>
      <c r="DP110" s="775"/>
      <c r="DR110" s="775">
        <f t="shared" ref="DR110" si="403">DN110+DP110</f>
        <v>4481</v>
      </c>
      <c r="DT110" s="775">
        <v>212626</v>
      </c>
      <c r="DV110" s="971">
        <v>0</v>
      </c>
      <c r="DX110" s="775"/>
      <c r="DZ110" s="775">
        <f t="shared" ref="DZ110" si="404">DT110+DX110</f>
        <v>212626</v>
      </c>
      <c r="EB110" s="980">
        <v>132818552</v>
      </c>
      <c r="ED110" s="972"/>
      <c r="EF110" s="775"/>
      <c r="EH110" s="775">
        <f t="shared" ref="EH110" si="405">EB110+EF110</f>
        <v>132818552</v>
      </c>
      <c r="EJ110" s="775">
        <v>1186245</v>
      </c>
      <c r="EL110" s="775"/>
      <c r="EN110" s="775">
        <f t="shared" ref="EN110" si="406">EJ110+EL110</f>
        <v>1186245</v>
      </c>
      <c r="EP110" s="775">
        <v>32454636</v>
      </c>
      <c r="ER110" s="775"/>
      <c r="ET110" s="775">
        <f t="shared" ref="ET110" si="407">EP110+ER110</f>
        <v>32454636</v>
      </c>
      <c r="EV110" s="775">
        <v>5022218116</v>
      </c>
      <c r="EX110" s="775"/>
      <c r="EZ110" s="775">
        <f t="shared" ref="EZ110" si="408">EV110+EX110</f>
        <v>5022218116</v>
      </c>
      <c r="FB110" s="775"/>
      <c r="FD110" s="775"/>
      <c r="FF110" s="775"/>
      <c r="FH110" s="775"/>
      <c r="FJ110" s="775">
        <f t="shared" ref="FJ110" si="409">FF110+FH110</f>
        <v>0</v>
      </c>
      <c r="FL110" s="775">
        <v>203256</v>
      </c>
      <c r="FN110" s="775"/>
      <c r="FP110" s="775">
        <f t="shared" ref="FP110" si="410">FL110+FN110</f>
        <v>203256</v>
      </c>
      <c r="FR110" s="775">
        <v>58473338</v>
      </c>
      <c r="FT110" s="775"/>
      <c r="FV110" s="775">
        <f t="shared" ref="FV110" si="411">FR110+FT110</f>
        <v>58473338</v>
      </c>
      <c r="FX110" s="775">
        <v>3098916</v>
      </c>
      <c r="FZ110" s="775"/>
      <c r="GB110" s="775">
        <f t="shared" ref="GB110" si="412">FX110+FZ110</f>
        <v>3098916</v>
      </c>
      <c r="GD110" s="775"/>
      <c r="GF110" s="775"/>
      <c r="GH110" s="775">
        <v>0</v>
      </c>
      <c r="GK110" s="761">
        <f t="shared" ref="GK110" si="413">O110+U110+AA110+AG110+AO110+AU110+BA110+BG110+BM110+BU110+CH110+CN110+CT110+CZ110+DF110+DL110+DR110+DZ110+EH110+EN110+ET110+EZ110+FJ110+FP110+FV110+GB110</f>
        <v>6580025008</v>
      </c>
      <c r="GL110" s="973">
        <f t="shared" si="304"/>
        <v>6580025.0080000004</v>
      </c>
      <c r="GM110" s="761">
        <f>O110+U110+AA110+AG110+AO110+BA110+BG110+BM110+BU110+CH110+CN110+CT110+DF110+DZ110+EH110+EN110+ET110+EZ110+FJ110+FP110+FV110</f>
        <v>6576805843</v>
      </c>
      <c r="GN110" s="973"/>
    </row>
    <row r="111" spans="1:196">
      <c r="J111" s="758">
        <v>80</v>
      </c>
      <c r="BQ111" s="952"/>
      <c r="BW111" s="761"/>
      <c r="BZ111" s="952"/>
      <c r="CB111" s="761"/>
      <c r="CD111" s="952"/>
      <c r="CP111" s="761"/>
      <c r="CV111" s="761"/>
      <c r="DB111" s="761"/>
      <c r="DH111" s="761"/>
      <c r="DN111" s="761"/>
      <c r="DT111" s="761"/>
      <c r="DV111" s="977"/>
      <c r="EB111" s="761"/>
      <c r="ED111" s="978"/>
      <c r="EJ111" s="761"/>
      <c r="EP111" s="761"/>
      <c r="EV111" s="761"/>
      <c r="FB111" s="761"/>
      <c r="FD111" s="761"/>
      <c r="GL111" s="973">
        <f t="shared" si="304"/>
        <v>0</v>
      </c>
      <c r="GN111" s="973"/>
    </row>
    <row r="112" spans="1:196">
      <c r="A112" s="763" t="s">
        <v>236</v>
      </c>
      <c r="J112" s="770">
        <v>81</v>
      </c>
      <c r="K112" s="777">
        <f>SUM(K110,K108,K104,K97,K90,K75,K68,K66,K64,K62,K60,K58,K50,K42)</f>
        <v>6039791</v>
      </c>
      <c r="M112" s="777">
        <f>SUM(M110,M108,M104,M97,M90,M75,M68,M66,M64,M62,M60,M58,M50,M42)</f>
        <v>0</v>
      </c>
      <c r="O112" s="777">
        <f>SUM(O110,O108,O104,O97,O90,O75,O68,O66,O64,O62,O60,O58,O50,O42)</f>
        <v>6039791</v>
      </c>
      <c r="Q112" s="777">
        <f>SUM(Q110,Q108,Q104,Q97,Q90,Q75,Q68,Q66,Q64,Q62,Q60,Q58,Q50,Q42)</f>
        <v>37776669</v>
      </c>
      <c r="S112" s="777">
        <f>SUM(S110,S108,S104,S97,S90,S75,S68,S66,S64,S62,S60,S58,S50,S42)</f>
        <v>0</v>
      </c>
      <c r="U112" s="777">
        <f>SUM(U110,U108,U104,U97,U90,U75,U68,U66,U64,U62,U60,U58,U50,U42)</f>
        <v>37776669</v>
      </c>
      <c r="W112" s="777">
        <f>SUM(W110,W108,W104,W97,W90,W75,W68,W66,W64,W62,W60,W58,W50,W42)</f>
        <v>28494605</v>
      </c>
      <c r="Y112" s="777">
        <f>SUM(Y110,Y108,Y104,Y97,Y90,Y75,Y68,Y66,Y64,Y62,Y60,Y58,Y50,Y42)</f>
        <v>0</v>
      </c>
      <c r="AA112" s="777">
        <f>SUM(AA110,AA108,AA104,AA97,AA90,AA75,AA68,AA66,AA64,AA62,AA60,AA58,AA50,AA42)</f>
        <v>28494605</v>
      </c>
      <c r="AC112" s="777">
        <f>SUM(AC110,AC108,AC104,AC97,AC90,AC75,AC68,AC66,AC64,AC62,AC60,AC58,AC50,AC42)</f>
        <v>28733569</v>
      </c>
      <c r="AE112" s="777">
        <f>SUM(AE110,AE108,AE104,AE97,AE90,AE75,AE68,AE66,AE64,AE62,AE60,AE58,AE50,AE42)</f>
        <v>0</v>
      </c>
      <c r="AG112" s="777">
        <f>SUM(AG110,AG108,AG104,AG97,AG90,AG75,AG68,AG66,AG64,AG62,AG60,AG58,AG50,AG42)</f>
        <v>28733569</v>
      </c>
      <c r="AI112" s="777">
        <f>SUM(AI110,AI108,AI104,AI97,AI90,AI75,AI68,AI66,AI64,AI62,AI60,AI58,AI50,AI42)</f>
        <v>40023939</v>
      </c>
      <c r="AK112" s="974">
        <f>SUM(AK110,AK108,AK104,AK97,AK90,AK75,AK68,AK66,AK64,AK62,AK60,AK58,AK50,AK42)</f>
        <v>0</v>
      </c>
      <c r="AM112" s="777">
        <f>SUM(AM110,AM108,AM104,AM97,AM90,AM75,AM68,AM66,AM64,AM62,AM60,AM58,AM50,AM42)</f>
        <v>0</v>
      </c>
      <c r="AO112" s="777">
        <f>SUM(AO110,AO108,AO104,AO97,AO90,AO75,AO68,AO66,AO64,AO62,AO60,AO58,AO50,AO42)</f>
        <v>40023939</v>
      </c>
      <c r="AQ112" s="777">
        <f>SUM(AQ110,AQ108,AQ104,AQ97,AQ90,AQ75,AQ68,AQ66,AQ64,AQ62,AQ60,AQ58,AQ50,AQ42)</f>
        <v>0</v>
      </c>
      <c r="AS112" s="777">
        <f>SUM(AS110,AS108,AS104,AS97,AS90,AS75,AS68,AS66,AS64,AS62,AS60,AS58,AS50,AS42)</f>
        <v>0</v>
      </c>
      <c r="AU112" s="777">
        <f>SUM(AU110,AU108,AU104,AU97,AU90,AU75,AU68,AU66,AU64,AU62,AU60,AU58,AU50,AU42)</f>
        <v>0</v>
      </c>
      <c r="AW112" s="777">
        <f>SUM(AW110,AW108,AW104,AW97,AW90,AW75,AW68,AW66,AW64,AW62,AW60,AW58,AW50,AW42)</f>
        <v>114892687</v>
      </c>
      <c r="AY112" s="777">
        <f>SUM(AY110,AY108,AY104,AY97,AY90,AY75,AY68,AY66,AY64,AY62,AY60,AY58,AY50,AY42)</f>
        <v>0</v>
      </c>
      <c r="BA112" s="777">
        <f>SUM(BA110,BA108,BA104,BA97,BA90,BA75,BA68,BA66,BA64,BA62,BA60,BA58,BA50,BA42)</f>
        <v>114892687</v>
      </c>
      <c r="BC112" s="777">
        <f>SUM(BC110,BC108,BC104,BC97,BC90,BC75,BC68,BC66,BC64,BC62,BC60,BC58,BC50,BC42)</f>
        <v>37717462</v>
      </c>
      <c r="BE112" s="777">
        <f>SUM(BE110,BE108,BE104,BE97,BE90,BE75,BE68,BE66,BE64,BE62,BE60,BE58,BE50,BE42)</f>
        <v>0</v>
      </c>
      <c r="BG112" s="777">
        <f>SUM(BG110,BG108,BG104,BG97,BG90,BG75,BG68,BG66,BG64,BG62,BG60,BG58,BG50,BG42)</f>
        <v>37717462</v>
      </c>
      <c r="BI112" s="777">
        <f>SUM(BI110,BI108,BI104,BI97,BI90,BI75,BI68,BI66,BI64,BI62,BI60,BI58,BI50,BI42)</f>
        <v>343025028</v>
      </c>
      <c r="BK112" s="777">
        <f>SUM(BK110,BK108,BK104,BK97,BK90,BK75,BK68,BK66,BK64,BK62,BK60,BK58,BK50,BK42)</f>
        <v>0</v>
      </c>
      <c r="BM112" s="777">
        <f>SUM(BM110,BM108,BM104,BM97,BM90,BM75,BM68,BM66,BM64,BM62,BM60,BM58,BM50,BM42)</f>
        <v>343025028</v>
      </c>
      <c r="BO112" s="777">
        <f>SUM(BO110,BO108,BO104,BO97,BO90,BO75,BO68,BO66,BO64,BO62,BO60,BO58,BO50,BO42)</f>
        <v>7445551</v>
      </c>
      <c r="BQ112" s="974">
        <f>SUM(BQ110,BQ108,BQ104,BQ97,BQ90,BQ75,BQ68,BQ66,BQ64,BQ62,BQ60,BQ58,BQ50,BQ42)</f>
        <v>0</v>
      </c>
      <c r="BS112" s="777">
        <f>SUM(BS110,BS108,BS104,BS97,BS90,BS75,BS68,BS66,BS64,BS62,BS60,BS58,BS50,BS42)</f>
        <v>0</v>
      </c>
      <c r="BU112" s="777">
        <f>SUM(BU110,BU108,BU104,BU97,BU90,BU75,BU68,BU66,BU64,BU62,BU60,BU58,BU50,BU42)</f>
        <v>7445551</v>
      </c>
      <c r="BW112" s="777">
        <f>SUM(BW110,BW108,BW104,BW97,BW90,BW75,BW68,BW66,BW64,BW62,BW60,BW58,BW50,BW42)</f>
        <v>21462158</v>
      </c>
      <c r="BZ112" s="974">
        <f>SUM(BZ110,BZ108,BZ104,BZ97,BZ90,BZ75,BZ68,BZ66,BZ64,BZ62,BZ60,BZ58,BZ50,BZ42)</f>
        <v>0</v>
      </c>
      <c r="CB112" s="777">
        <f>SUM(CB110,CB108,CB104,CB97,CB90,CB75,CB68,CB66,CB64,CB62,CB60,CB58,CB50,CB42)</f>
        <v>0</v>
      </c>
      <c r="CD112" s="974">
        <f>SUM(CD110,CD108,CD104,CD97,CD90,CD75,CD68,CD66,CD64,CD62,CD60,CD58,CD50,CD42)</f>
        <v>0</v>
      </c>
      <c r="CF112" s="777">
        <f>SUM(CF110,CF108,CF104,CF97,CF90,CF75,CF68,CF66,CF64,CF62,CF60,CF58,CF50,CF42)</f>
        <v>0</v>
      </c>
      <c r="CH112" s="777">
        <f>SUM(CH110,CH108,CH104,CH97,CH90,CH75,CH68,CH66,CH64,CH62,CH60,CH58,CH50,CH42)</f>
        <v>21462158</v>
      </c>
      <c r="CJ112" s="777">
        <f>SUM(CJ110,CJ108,CJ104,CJ97,CJ90,CJ75,CJ68,CJ66,CJ64,CJ62,CJ60,CJ58,CJ50,CJ42)</f>
        <v>817916</v>
      </c>
      <c r="CL112" s="777">
        <f>SUM(CL110,CL108,CL104,CL97,CL90,CL75,CL68,CL66,CL64,CL62,CL60,CL58,CL50,CL42)</f>
        <v>0</v>
      </c>
      <c r="CN112" s="777">
        <f>SUM(CN110,CN108,CN104,CN97,CN90,CN75,CN68,CN66,CN64,CN62,CN60,CN58,CN50,CN42)</f>
        <v>817916</v>
      </c>
      <c r="CO112" s="777">
        <f t="shared" ref="CO112:CP112" si="414">SUM(CO110,CO108,CO104,CO97,CO90,CO75,CO68,CO66,CO64,CO62,CO60,CO58,CO50,CO42)</f>
        <v>0</v>
      </c>
      <c r="CP112" s="777">
        <f t="shared" si="414"/>
        <v>1806540</v>
      </c>
      <c r="CR112" s="777">
        <f>SUM(CR110,CR108,CR104,CR97,CR90,CR75,CR68,CR66,CR64,CR62,CR60,CR58,CR50,CR42)</f>
        <v>0</v>
      </c>
      <c r="CT112" s="777">
        <f>SUM(CT110,CT108,CT104,CT97,CT90,CT75,CT68,CT66,CT64,CT62,CT60,CT58,CT50,CT42)</f>
        <v>1806540</v>
      </c>
      <c r="CV112" s="777">
        <f>SUM(CV110,CV108,CV104,CV97,CV90,CV75,CV68,CV66,CV64,CV62,CV60,CV58,CV50,CV42)</f>
        <v>1939377</v>
      </c>
      <c r="CX112" s="777">
        <f>SUM(CX110,CX108,CX104,CX97,CX90,CX75,CX68,CX66,CX64,CX62,CX60,CX58,CX50,CX42)</f>
        <v>0</v>
      </c>
      <c r="CZ112" s="777">
        <f>SUM(CZ110,CZ108,CZ104,CZ97,CZ90,CZ75,CZ68,CZ66,CZ64,CZ62,CZ60,CZ58,CZ50,CZ42)</f>
        <v>1939377</v>
      </c>
      <c r="DB112" s="777">
        <f>SUM(DB110,DB108,DB104,DB97,DB90,DB75,DB68,DB66,DB64,DB62,DB60,DB58,DB50,DB42)</f>
        <v>2346665000</v>
      </c>
      <c r="DD112" s="777">
        <f>SUM(DD110,DD108,DD104,DD97,DD90,DD75,DD68,DD66,DD64,DD62,DD60,DD58,DD50,DD42)</f>
        <v>0</v>
      </c>
      <c r="DF112" s="777">
        <f>SUM(DF110,DF108,DF104,DF97,DF90,DF75,DF68,DF66,DF64,DF62,DF60,DF58,DF50,DF42)</f>
        <v>2346665000</v>
      </c>
      <c r="DH112" s="777">
        <f>SUM(DH110,DH108,DH104,DH97,DH90,DH75,DH68,DH66,DH64,DH62,DH60,DH58,DH50,DH42)</f>
        <v>5893280</v>
      </c>
      <c r="DJ112" s="777">
        <f>SUM(DJ110,DJ108,DJ104,DJ97,DJ90,DJ75,DJ68,DJ66,DJ64,DJ62,DJ60,DJ58,DJ50,DJ42)</f>
        <v>0</v>
      </c>
      <c r="DL112" s="777">
        <f>SUM(DL110,DL108,DL104,DL97,DL90,DL75,DL68,DL66,DL64,DL62,DL60,DL58,DL50,DL42)</f>
        <v>5893280</v>
      </c>
      <c r="DN112" s="777">
        <f>SUM(DN110,DN108,DN104,DN97,DN90,DN75,DN68,DN66,DN64,DN62,DN60,DN58,DN50,DN42)</f>
        <v>32188132</v>
      </c>
      <c r="DP112" s="777">
        <f>SUM(DP110,DP108,DP104,DP97,DP90,DP75,DP68,DP66,DP64,DP62,DP60,DP58,DP50,DP42)</f>
        <v>0</v>
      </c>
      <c r="DR112" s="777">
        <f>SUM(DR110,DR108,DR104,DR97,DR90,DR75,DR68,DR66,DR64,DR62,DR60,DR58,DR50,DR42)</f>
        <v>32188132</v>
      </c>
      <c r="DT112" s="777">
        <f>SUM(DT110,DT108,DT104,DT97,DT90,DT75,DT68,DT66,DT64,DT62,DT60,DT58,DT50,DT42)</f>
        <v>28094602</v>
      </c>
      <c r="DV112" s="975">
        <f>SUM(DV110,DV108,DV104,DV97,DV90,DV75,DV68,DV66,DV64,DV62,DV60,DV58,DV50,DV42)</f>
        <v>0</v>
      </c>
      <c r="DX112" s="777">
        <f>SUM(DX110,DX108,DX104,DX97,DX90,DX75,DX68,DX66,DX64,DX62,DX60,DX58,DX50,DX42)</f>
        <v>0</v>
      </c>
      <c r="DZ112" s="777">
        <f>SUM(DZ110,DZ108,DZ104,DZ97,DZ90,DZ75,DZ68,DZ66,DZ64,DZ62,DZ60,DZ58,DZ50,DZ42)</f>
        <v>28094602</v>
      </c>
      <c r="EB112" s="777">
        <f>SUM(EB110,EB108,EB104,EB97,EB90,EB75,EB68,EB66,EB64,EB62,EB60,EB58,EB50,EB42)</f>
        <v>208873831</v>
      </c>
      <c r="ED112" s="976">
        <f>SUM(ED110,ED108,ED104,ED97,ED90,ED75,ED68,ED66,ED64,ED62,ED60,ED58,ED50,ED42)</f>
        <v>0</v>
      </c>
      <c r="EF112" s="777">
        <f>SUM(EF110,EF108,EF104,EF97,EF90,EF75,EF68,EF66,EF64,EF62,EF60,EF58,EF50,EF42)</f>
        <v>0</v>
      </c>
      <c r="EH112" s="777">
        <f>SUM(EH110,EH108,EH104,EH97,EH90,EH75,EH68,EH66,EH64,EH62,EH60,EH58,EH50,EH42)</f>
        <v>208873831</v>
      </c>
      <c r="EJ112" s="777">
        <f>SUM(EJ110,EJ108,EJ104,EJ97,EJ90,EJ75,EJ68,EJ66,EJ64,EJ62,EJ60,EJ58,EJ50,EJ42)</f>
        <v>5533345934</v>
      </c>
      <c r="EL112" s="777">
        <f>SUM(EL110,EL108,EL104,EL97,EL90,EL75,EL68,EL66,EL64,EL62,EL60,EL58,EL50,EL42,EL106)</f>
        <v>0</v>
      </c>
      <c r="EN112" s="777">
        <f>SUM(EN110,EN108,EN104,EN97,EN90,EN75,EN68,EN66,EN64,EN62,EN60,EN58,EN50,EN42,EN106)</f>
        <v>5533345934</v>
      </c>
      <c r="EP112" s="777">
        <f>SUM(EP110,EP108,EP104,EP97,EP90,EP75,EP68,EP66,EP64,EP62,EP60,EP58,EP50,EP42)</f>
        <v>9354734251</v>
      </c>
      <c r="ER112" s="777">
        <f>SUM(ER110,ER108,ER104,ER97,ER90,ER75,ER68,ER66,ER64,ER62,ER60,ER58,ER50,ER42,ER106)</f>
        <v>0</v>
      </c>
      <c r="ET112" s="777">
        <f>SUM(ET110,ET108,ET104,ET97,ET90,ET75,ET68,ET66,ET64,ET62,ET60,ET58,ET50,ET42,ET106)</f>
        <v>9354734251</v>
      </c>
      <c r="EV112" s="777">
        <f>SUM(EV110,EV108,EV104,EV97,EV90,EV75,EV68,EV66,EV64,EV62,EV60,EV58,EV50,EV42)</f>
        <v>7132297048</v>
      </c>
      <c r="EX112" s="777">
        <f>SUM(EX110,EX108,EX104,EX97,EX90,EX75,EX68,EX66,EX64,EX62,EX60,EX58,EX50,EX42)</f>
        <v>1648397</v>
      </c>
      <c r="EZ112" s="777">
        <f>SUM(EZ110,EZ108,EZ104,EZ97,EZ90,EZ75,EZ68,EZ66,EZ64,EZ62,EZ60,EZ58,EZ50,EZ42)</f>
        <v>7133945445</v>
      </c>
      <c r="FB112" s="777">
        <f>SUM(FB110,FB108,FB104,FB97,FB90,FB75,FB68,FB66,FB64,FB62,FB60,FB58,FB50,FB42)</f>
        <v>0</v>
      </c>
      <c r="FD112" s="777">
        <f>SUM(FD110,FD108,FD104,FD97,FD90,FD75,FD68,FD66,FD64,FD62,FD60,FD58,FD50,FD42)</f>
        <v>0</v>
      </c>
      <c r="FF112" s="777">
        <f>SUM(FF110,FF108,FF104,FF97,FF90,FF75,FF68,FF66,FF64,FF62,FF60,FF58,FF50,FF42)</f>
        <v>4425393629</v>
      </c>
      <c r="FH112" s="777">
        <f>SUM(FH110,FH108,FH104,FH97,FH90,FH75,FH68,FH66,FH64,FH62,FH60,FH58,FH50,FH42,FH106)</f>
        <v>0</v>
      </c>
      <c r="FJ112" s="777">
        <f>SUM(FJ110,FJ108,FJ104,FJ97,FJ90,FJ75,FJ68,FJ66,FJ64,FJ62,FJ60,FJ58,FJ50,FJ42,FJ106)</f>
        <v>4425393629</v>
      </c>
      <c r="FL112" s="777">
        <f>SUM(FL110,FL108,FL104,FL97,FL90,FL75,FL68,FL66,FL64,FL62,FL60,FL58,FL50,FL42)</f>
        <v>88441436</v>
      </c>
      <c r="FN112" s="777">
        <f>SUM(FN110,FN108,FN104,FN97,FN90,FN75,FN68,FN66,FN64,FN62,FN60,FN58,FN50,FN42)</f>
        <v>0</v>
      </c>
      <c r="FP112" s="777">
        <f>SUM(FP110,FP108,FP104,FP97,FP90,FP75,FP68,FP66,FP64,FP62,FP60,FP58,FP50,FP42)</f>
        <v>88441436</v>
      </c>
      <c r="FR112" s="777">
        <f>SUM(FR110,FR108,FR104,FR97,FR90,FR75,FR68,FR66,FR64,FR62,FR60,FR58,FR50,FR42)</f>
        <v>1356848006</v>
      </c>
      <c r="FT112" s="777">
        <f>SUM(FT110,FT108,FT104,FT97,FT90,FT75,FT68,FT66,FT64,FT62,FT60,FT58,FT50,FT42)</f>
        <v>0</v>
      </c>
      <c r="FV112" s="777">
        <f>SUM(FV110,FV108,FV104,FV97,FV90,FV75,FV68,FV66,FV64,FV62,FV60,FV58,FV50,FV42)</f>
        <v>1356848006</v>
      </c>
      <c r="FX112" s="777">
        <f>SUM(FX110,FX108,FX104,FX97,FX90,FX75,FX68,FX66,FX64,FX62,FX60,FX58,FX50,FX42)</f>
        <v>320872335</v>
      </c>
      <c r="FZ112" s="777">
        <f>SUM(FZ110,FZ108,FZ104,FZ97,FZ90,FZ75,FZ68,FZ66,FZ64,FZ62,FZ60,FZ58,FZ50,FZ42)</f>
        <v>0</v>
      </c>
      <c r="GB112" s="777">
        <f>SUM(GB110,GB108,GB104,GB97,GB90,GB75,GB68,GB66,GB64,GB62,GB60,GB58,GB50,GB42)</f>
        <v>320872335</v>
      </c>
      <c r="GD112" s="777">
        <v>2160274553</v>
      </c>
      <c r="GF112" s="777">
        <v>0</v>
      </c>
      <c r="GH112" s="777">
        <v>2160274553</v>
      </c>
      <c r="GK112" s="761">
        <f t="shared" ref="GK112" si="415">O112+U112+AA112+AG112+AO112+AU112+BA112+BG112+BM112+BU112+CH112+CN112+CT112+CZ112+DF112+DL112+DR112+DZ112+EH112+EN112+ET112+EZ112+FJ112+FP112+FV112+GB112</f>
        <v>31505471173</v>
      </c>
      <c r="GL112" s="973">
        <f t="shared" si="304"/>
        <v>31505471.173</v>
      </c>
      <c r="GM112" s="761">
        <f>O112+U112+AA112+AG112+AO112+BA112+BG112+BM112+BU112+CH112+CN112+CT112+DF112+DZ112+EH112+EN112+ET112+EZ112+FJ112+FP112+FV112</f>
        <v>31144578049</v>
      </c>
      <c r="GN112" s="973"/>
    </row>
    <row r="113" spans="1:196">
      <c r="J113" s="758">
        <v>82</v>
      </c>
      <c r="BQ113" s="952"/>
      <c r="BW113" s="761"/>
      <c r="BZ113" s="952"/>
      <c r="CB113" s="761"/>
      <c r="CD113" s="952"/>
      <c r="CP113" s="761"/>
      <c r="CV113" s="761"/>
      <c r="DB113" s="761"/>
      <c r="DH113" s="761"/>
      <c r="DN113" s="761"/>
      <c r="DT113" s="761"/>
      <c r="DV113" s="977"/>
      <c r="EB113" s="761"/>
      <c r="ED113" s="978"/>
      <c r="EJ113" s="761"/>
      <c r="EP113" s="761"/>
      <c r="EV113" s="761"/>
      <c r="FB113" s="761"/>
      <c r="FD113" s="761"/>
      <c r="GL113" s="973">
        <f t="shared" si="304"/>
        <v>0</v>
      </c>
      <c r="GN113" s="973"/>
    </row>
    <row r="114" spans="1:196">
      <c r="A114" s="763" t="s">
        <v>730</v>
      </c>
      <c r="J114" s="770">
        <v>83</v>
      </c>
      <c r="K114" s="775"/>
      <c r="M114" s="775"/>
      <c r="O114" s="775">
        <f t="shared" ref="O114" si="416">K114+M114</f>
        <v>0</v>
      </c>
      <c r="Q114" s="775">
        <v>143631</v>
      </c>
      <c r="S114" s="775"/>
      <c r="U114" s="775">
        <f t="shared" ref="U114" si="417">Q114+S114</f>
        <v>143631</v>
      </c>
      <c r="W114" s="775"/>
      <c r="Y114" s="775"/>
      <c r="AA114" s="775">
        <f t="shared" ref="AA114" si="418">W114+Y114</f>
        <v>0</v>
      </c>
      <c r="AC114" s="775"/>
      <c r="AE114" s="775"/>
      <c r="AG114" s="775">
        <f t="shared" ref="AG114" si="419">AC114+AE114</f>
        <v>0</v>
      </c>
      <c r="AI114" s="775">
        <v>6596878</v>
      </c>
      <c r="AK114" s="970">
        <v>0</v>
      </c>
      <c r="AM114" s="775"/>
      <c r="AO114" s="775">
        <f t="shared" ref="AO114" si="420">AI114+AM114</f>
        <v>6596878</v>
      </c>
      <c r="AQ114" s="775"/>
      <c r="AS114" s="775"/>
      <c r="AU114" s="775">
        <f t="shared" ref="AU114" si="421">AQ114+AS114</f>
        <v>0</v>
      </c>
      <c r="AW114" s="775"/>
      <c r="AY114" s="775"/>
      <c r="BA114" s="775">
        <f t="shared" ref="BA114" si="422">AW114+AY114</f>
        <v>0</v>
      </c>
      <c r="BC114" s="775">
        <v>1587961</v>
      </c>
      <c r="BE114" s="775"/>
      <c r="BG114" s="775">
        <f t="shared" ref="BG114" si="423">BC114+BE114</f>
        <v>1587961</v>
      </c>
      <c r="BI114" s="776"/>
      <c r="BK114" s="775"/>
      <c r="BM114" s="775">
        <f t="shared" ref="BM114" si="424">BI114+BK114</f>
        <v>0</v>
      </c>
      <c r="BO114" s="775"/>
      <c r="BQ114" s="970"/>
      <c r="BS114" s="775"/>
      <c r="BU114" s="775">
        <f t="shared" ref="BU114" si="425">BO114+BS114</f>
        <v>0</v>
      </c>
      <c r="BW114" s="776">
        <v>529089</v>
      </c>
      <c r="BZ114" s="970"/>
      <c r="CB114" s="775"/>
      <c r="CD114" s="970"/>
      <c r="CF114" s="775"/>
      <c r="CH114" s="775">
        <f t="shared" ref="CH114" si="426">BW114+CF114</f>
        <v>529089</v>
      </c>
      <c r="CJ114" s="775"/>
      <c r="CL114" s="775"/>
      <c r="CN114" s="775">
        <f t="shared" ref="CN114" si="427">CJ114+CL114</f>
        <v>0</v>
      </c>
      <c r="CP114" s="775"/>
      <c r="CR114" s="775"/>
      <c r="CT114" s="775">
        <f t="shared" ref="CT114" si="428">CP114+CR114</f>
        <v>0</v>
      </c>
      <c r="CV114" s="775"/>
      <c r="CX114" s="775"/>
      <c r="CZ114" s="775">
        <f t="shared" ref="CZ114" si="429">CV114+CX114</f>
        <v>0</v>
      </c>
      <c r="DB114" s="775">
        <v>37522000</v>
      </c>
      <c r="DD114" s="775"/>
      <c r="DF114" s="775">
        <f t="shared" ref="DF114" si="430">DB114+DD114</f>
        <v>37522000</v>
      </c>
      <c r="DH114" s="775"/>
      <c r="DJ114" s="775"/>
      <c r="DL114" s="775">
        <f t="shared" ref="DL114" si="431">DH114+DJ114</f>
        <v>0</v>
      </c>
      <c r="DN114" s="775"/>
      <c r="DP114" s="775"/>
      <c r="DR114" s="775">
        <f t="shared" ref="DR114" si="432">DN114+DP114</f>
        <v>0</v>
      </c>
      <c r="DT114" s="775">
        <v>45949</v>
      </c>
      <c r="DV114" s="971">
        <v>0</v>
      </c>
      <c r="DX114" s="775"/>
      <c r="DZ114" s="775">
        <f t="shared" ref="DZ114" si="433">DT114+DX114</f>
        <v>45949</v>
      </c>
      <c r="EB114" s="775"/>
      <c r="ED114" s="972">
        <v>0</v>
      </c>
      <c r="EF114" s="775"/>
      <c r="EH114" s="775">
        <f t="shared" ref="EH114" si="434">EB114+EF114</f>
        <v>0</v>
      </c>
      <c r="EJ114" s="776">
        <v>33873749</v>
      </c>
      <c r="EL114" s="775"/>
      <c r="EN114" s="775">
        <f t="shared" ref="EN114" si="435">EJ114+EL114</f>
        <v>33873749</v>
      </c>
      <c r="EP114" s="775">
        <v>11258138</v>
      </c>
      <c r="ER114" s="775"/>
      <c r="ET114" s="775">
        <f t="shared" ref="ET114" si="436">EP114+ER114</f>
        <v>11258138</v>
      </c>
      <c r="EV114" s="775">
        <v>58019957</v>
      </c>
      <c r="EX114" s="775"/>
      <c r="EZ114" s="775">
        <f t="shared" ref="EZ114" si="437">EV114+EX114</f>
        <v>58019957</v>
      </c>
      <c r="FB114" s="775">
        <v>0</v>
      </c>
      <c r="FD114" s="775"/>
      <c r="FF114" s="775">
        <v>59188500</v>
      </c>
      <c r="FH114" s="775"/>
      <c r="FJ114" s="775">
        <f t="shared" ref="FJ114" si="438">FF114+FH114</f>
        <v>59188500</v>
      </c>
      <c r="FL114" s="775"/>
      <c r="FN114" s="775"/>
      <c r="FP114" s="775">
        <f t="shared" ref="FP114" si="439">FL114+FN114</f>
        <v>0</v>
      </c>
      <c r="FR114" s="775">
        <v>3573842</v>
      </c>
      <c r="FT114" s="775"/>
      <c r="FV114" s="775">
        <f t="shared" ref="FV114" si="440">FR114+FT114</f>
        <v>3573842</v>
      </c>
      <c r="FX114" s="775"/>
      <c r="FZ114" s="775"/>
      <c r="GB114" s="775">
        <f t="shared" ref="GB114" si="441">FX114+FZ114</f>
        <v>0</v>
      </c>
      <c r="GD114" s="775">
        <v>17282900</v>
      </c>
      <c r="GF114" s="775"/>
      <c r="GH114" s="775">
        <v>17282900</v>
      </c>
      <c r="GK114" s="761">
        <f t="shared" ref="GK114" si="442">O114+U114+AA114+AG114+AO114+AU114+BA114+BG114+BM114+BU114+CH114+CN114+CT114+CZ114+DF114+DL114+DR114+DZ114+EH114+EN114+ET114+EZ114+FJ114+FP114+FV114+GB114</f>
        <v>212339694</v>
      </c>
      <c r="GL114" s="973">
        <f t="shared" si="304"/>
        <v>212339.69399999999</v>
      </c>
      <c r="GM114" s="761">
        <f>O114+U114+AA114+AG114+AO114+BA114+BG114+BM114+BU114+CH114+CN114+CT114+DF114+DZ114+EH114+EN114+ET114+EZ114+FJ114+FP114+FV114</f>
        <v>212339694</v>
      </c>
      <c r="GN114" s="973"/>
    </row>
    <row r="115" spans="1:196">
      <c r="A115" s="763"/>
      <c r="J115" s="758">
        <v>84</v>
      </c>
      <c r="BQ115" s="952"/>
      <c r="BW115" s="761"/>
      <c r="BZ115" s="952"/>
      <c r="CB115" s="761"/>
      <c r="CD115" s="952"/>
      <c r="CP115" s="761"/>
      <c r="CV115" s="761"/>
      <c r="DB115" s="761"/>
      <c r="DH115" s="761"/>
      <c r="DN115" s="761"/>
      <c r="DT115" s="761"/>
      <c r="DV115" s="977"/>
      <c r="EB115" s="761"/>
      <c r="ED115" s="978"/>
      <c r="EJ115" s="761"/>
      <c r="EP115" s="761"/>
      <c r="EV115" s="761"/>
      <c r="FB115" s="761"/>
      <c r="FD115" s="761"/>
      <c r="GL115" s="973">
        <f t="shared" si="304"/>
        <v>0</v>
      </c>
      <c r="GN115" s="973"/>
    </row>
    <row r="116" spans="1:196">
      <c r="A116" s="763" t="s">
        <v>731</v>
      </c>
      <c r="J116" s="770">
        <v>85</v>
      </c>
      <c r="K116" s="777">
        <f>SUM(K114,K112)</f>
        <v>6039791</v>
      </c>
      <c r="M116" s="777">
        <f>SUM(M114,M112)</f>
        <v>0</v>
      </c>
      <c r="O116" s="777">
        <f>SUM(O114,O112)</f>
        <v>6039791</v>
      </c>
      <c r="Q116" s="777">
        <f>SUM(Q114,Q112)</f>
        <v>37920300</v>
      </c>
      <c r="S116" s="777">
        <f>SUM(S114,S112)</f>
        <v>0</v>
      </c>
      <c r="U116" s="777">
        <f>SUM(U114,U112)</f>
        <v>37920300</v>
      </c>
      <c r="W116" s="777">
        <f>SUM(W114,W112)</f>
        <v>28494605</v>
      </c>
      <c r="Y116" s="777">
        <f>SUM(Y114,Y112)</f>
        <v>0</v>
      </c>
      <c r="AA116" s="777">
        <f>SUM(AA114,AA112)</f>
        <v>28494605</v>
      </c>
      <c r="AC116" s="777">
        <f>SUM(AC114,AC112)</f>
        <v>28733569</v>
      </c>
      <c r="AE116" s="777">
        <f>SUM(AE114,AE112)</f>
        <v>0</v>
      </c>
      <c r="AG116" s="777">
        <f>SUM(AG114,AG112)</f>
        <v>28733569</v>
      </c>
      <c r="AI116" s="777">
        <f>SUM(AI114,AI112)</f>
        <v>46620817</v>
      </c>
      <c r="AK116" s="974">
        <f>SUM(AK114,AK112)</f>
        <v>0</v>
      </c>
      <c r="AM116" s="777">
        <f>SUM(AM114,AM112)</f>
        <v>0</v>
      </c>
      <c r="AO116" s="777">
        <f>SUM(AO114,AO112)</f>
        <v>46620817</v>
      </c>
      <c r="AQ116" s="777">
        <f>SUM(AQ114,AQ112)</f>
        <v>0</v>
      </c>
      <c r="AS116" s="777">
        <f>SUM(AS114,AS112)</f>
        <v>0</v>
      </c>
      <c r="AU116" s="777">
        <f>SUM(AU114,AU112)</f>
        <v>0</v>
      </c>
      <c r="AW116" s="777">
        <f>SUM(AW114,AW112)</f>
        <v>114892687</v>
      </c>
      <c r="AY116" s="777">
        <f>SUM(AY114,AY112)</f>
        <v>0</v>
      </c>
      <c r="BA116" s="777">
        <f>SUM(BA114,BA112)</f>
        <v>114892687</v>
      </c>
      <c r="BC116" s="777">
        <f>SUM(BC114,BC112)</f>
        <v>39305423</v>
      </c>
      <c r="BE116" s="777">
        <f>SUM(BE114,BE112)</f>
        <v>0</v>
      </c>
      <c r="BG116" s="777">
        <f>SUM(BG114,BG112)</f>
        <v>39305423</v>
      </c>
      <c r="BI116" s="777">
        <f>SUM(BI114,BI112)</f>
        <v>343025028</v>
      </c>
      <c r="BK116" s="777">
        <f>SUM(BK114,BK112)</f>
        <v>0</v>
      </c>
      <c r="BM116" s="777">
        <f>SUM(BM114,BM112)</f>
        <v>343025028</v>
      </c>
      <c r="BO116" s="777">
        <f>SUM(BO114,BO112)</f>
        <v>7445551</v>
      </c>
      <c r="BQ116" s="974">
        <f>SUM(BQ114,BQ112)</f>
        <v>0</v>
      </c>
      <c r="BS116" s="777">
        <f>SUM(BS114,BS112)</f>
        <v>0</v>
      </c>
      <c r="BU116" s="777">
        <f>SUM(BU114,BU112)</f>
        <v>7445551</v>
      </c>
      <c r="BW116" s="777">
        <f>SUM(BW114,BW112)</f>
        <v>21991247</v>
      </c>
      <c r="BZ116" s="974">
        <f>SUM(BZ114,BZ112)</f>
        <v>0</v>
      </c>
      <c r="CB116" s="777">
        <f>SUM(CB114,CB112)</f>
        <v>0</v>
      </c>
      <c r="CD116" s="974">
        <f>SUM(CD114,CD112)</f>
        <v>0</v>
      </c>
      <c r="CF116" s="777">
        <f>SUM(CF114,CF112)</f>
        <v>0</v>
      </c>
      <c r="CH116" s="777">
        <f>SUM(CH114,CH112)</f>
        <v>21991247</v>
      </c>
      <c r="CJ116" s="777">
        <f>SUM(CJ114,CJ112)</f>
        <v>817916</v>
      </c>
      <c r="CL116" s="777">
        <f>SUM(CL114,CL112)</f>
        <v>0</v>
      </c>
      <c r="CN116" s="777">
        <f>SUM(CN114,CN112)</f>
        <v>817916</v>
      </c>
      <c r="CP116" s="777">
        <f>SUM(CP114,CP112)</f>
        <v>1806540</v>
      </c>
      <c r="CR116" s="777">
        <f>SUM(CR114,CR112)</f>
        <v>0</v>
      </c>
      <c r="CT116" s="777">
        <f>SUM(CT114,CT112)</f>
        <v>1806540</v>
      </c>
      <c r="CV116" s="777">
        <f>SUM(CV114,CV112)</f>
        <v>1939377</v>
      </c>
      <c r="CX116" s="777">
        <f>SUM(CX114,CX112)</f>
        <v>0</v>
      </c>
      <c r="CZ116" s="777">
        <f>SUM(CZ114,CZ112)</f>
        <v>1939377</v>
      </c>
      <c r="DB116" s="777">
        <f>SUM(DB114,DB112)</f>
        <v>2384187000</v>
      </c>
      <c r="DD116" s="777">
        <f>SUM(DD114,DD112)</f>
        <v>0</v>
      </c>
      <c r="DF116" s="777">
        <f>SUM(DF114,DF112)</f>
        <v>2384187000</v>
      </c>
      <c r="DH116" s="777">
        <f>SUM(DH114,DH112)</f>
        <v>5893280</v>
      </c>
      <c r="DJ116" s="777">
        <f>SUM(DJ114,DJ112)</f>
        <v>0</v>
      </c>
      <c r="DL116" s="777">
        <f>SUM(DL114,DL112)</f>
        <v>5893280</v>
      </c>
      <c r="DN116" s="777">
        <f>SUM(DN114,DN112)</f>
        <v>32188132</v>
      </c>
      <c r="DP116" s="777">
        <f>SUM(DP114,DP112)</f>
        <v>0</v>
      </c>
      <c r="DR116" s="777">
        <f>SUM(DR114,DR112)</f>
        <v>32188132</v>
      </c>
      <c r="DT116" s="777">
        <f>SUM(DT114,DT112)</f>
        <v>28140551</v>
      </c>
      <c r="DV116" s="975">
        <f>SUM(DV114,DV112)</f>
        <v>0</v>
      </c>
      <c r="DX116" s="777">
        <f>SUM(DX114,DX112)</f>
        <v>0</v>
      </c>
      <c r="DZ116" s="777">
        <f>SUM(DZ114,DZ112)</f>
        <v>28140551</v>
      </c>
      <c r="EB116" s="777">
        <f>SUM(EB114,EB112)</f>
        <v>208873831</v>
      </c>
      <c r="ED116" s="976">
        <f>SUM(ED114,ED112)</f>
        <v>0</v>
      </c>
      <c r="EF116" s="777">
        <f>SUM(EF114,EF112)</f>
        <v>0</v>
      </c>
      <c r="EH116" s="777">
        <f>SUM(EH114,EH112)</f>
        <v>208873831</v>
      </c>
      <c r="EJ116" s="777">
        <f>SUM(EJ114,EJ112)</f>
        <v>5567219683</v>
      </c>
      <c r="EL116" s="777">
        <f>SUM(EL114,EL112)</f>
        <v>0</v>
      </c>
      <c r="EN116" s="777">
        <f>SUM(EN114,EN112)</f>
        <v>5567219683</v>
      </c>
      <c r="EP116" s="777">
        <f>SUM(EP114,EP112)</f>
        <v>9365992389</v>
      </c>
      <c r="ER116" s="777">
        <f>SUM(ER114,ER112)</f>
        <v>0</v>
      </c>
      <c r="ET116" s="777">
        <f>SUM(ET114,ET112)</f>
        <v>9365992389</v>
      </c>
      <c r="EV116" s="777">
        <f>SUM(EV114,EV112)</f>
        <v>7190317005</v>
      </c>
      <c r="EX116" s="777">
        <f>SUM(EX114,EX112)</f>
        <v>1648397</v>
      </c>
      <c r="EZ116" s="777">
        <f>SUM(EZ114,EZ112)</f>
        <v>7191965402</v>
      </c>
      <c r="FB116" s="777">
        <f>SUM(FB114,FB112)</f>
        <v>0</v>
      </c>
      <c r="FD116" s="777">
        <f>SUM(FD114,FD112)</f>
        <v>0</v>
      </c>
      <c r="FF116" s="777">
        <f>SUM(FF114,FF112)</f>
        <v>4484582129</v>
      </c>
      <c r="FH116" s="777">
        <f>SUM(FH114,FH112)</f>
        <v>0</v>
      </c>
      <c r="FJ116" s="777">
        <f>SUM(FJ114,FJ112)</f>
        <v>4484582129</v>
      </c>
      <c r="FL116" s="777">
        <f>SUM(FL114,FL112)</f>
        <v>88441436</v>
      </c>
      <c r="FN116" s="777">
        <f>SUM(FN114,FN112)</f>
        <v>0</v>
      </c>
      <c r="FP116" s="777">
        <f>SUM(FP114,FP112)</f>
        <v>88441436</v>
      </c>
      <c r="FR116" s="777">
        <f>SUM(FR114,FR112)</f>
        <v>1360421848</v>
      </c>
      <c r="FT116" s="777">
        <f>SUM(FT114,FT112)</f>
        <v>0</v>
      </c>
      <c r="FV116" s="777">
        <f>SUM(FV114,FV112)</f>
        <v>1360421848</v>
      </c>
      <c r="FX116" s="777">
        <f>SUM(FX114,FX112)</f>
        <v>320872335</v>
      </c>
      <c r="FZ116" s="777">
        <f>SUM(FZ114,FZ112)</f>
        <v>0</v>
      </c>
      <c r="GB116" s="777">
        <f>SUM(GB114,GB112)</f>
        <v>320872335</v>
      </c>
      <c r="GD116" s="777">
        <v>2177557453</v>
      </c>
      <c r="GF116" s="777">
        <v>0</v>
      </c>
      <c r="GH116" s="777">
        <v>2177557453</v>
      </c>
      <c r="GK116" s="761">
        <f t="shared" ref="GK116" si="443">O116+U116+AA116+AG116+AO116+AU116+BA116+BG116+BM116+BU116+CH116+CN116+CT116+CZ116+DF116+DL116+DR116+DZ116+EH116+EN116+ET116+EZ116+FJ116+FP116+FV116+GB116</f>
        <v>31717810867</v>
      </c>
      <c r="GL116" s="973">
        <f t="shared" si="304"/>
        <v>31717810.866999999</v>
      </c>
      <c r="GM116" s="761">
        <f>O116+U116+AA116+AG116+AO116+BA116+BG116+BM116+BU116+CH116+CN116+CT116+DF116+DZ116+EH116+EN116+ET116+EZ116+FJ116+FP116+FV116</f>
        <v>31356917743</v>
      </c>
      <c r="GN116" s="973">
        <f>GL116+125+652</f>
        <v>31718587.866999999</v>
      </c>
    </row>
    <row r="117" spans="1:196">
      <c r="J117" s="758">
        <v>86</v>
      </c>
      <c r="BQ117" s="952"/>
      <c r="BW117" s="761"/>
      <c r="BZ117" s="952"/>
      <c r="CB117" s="761"/>
      <c r="CD117" s="952"/>
      <c r="CP117" s="761"/>
      <c r="CV117" s="761"/>
      <c r="DB117" s="761"/>
      <c r="DH117" s="761"/>
      <c r="DN117" s="761"/>
      <c r="DT117" s="761"/>
      <c r="DV117" s="977"/>
      <c r="EB117" s="761"/>
      <c r="ED117" s="978"/>
      <c r="EJ117" s="761"/>
      <c r="EP117" s="761"/>
      <c r="EV117" s="761"/>
      <c r="FB117" s="761"/>
      <c r="FD117" s="761"/>
      <c r="GL117" s="973">
        <f t="shared" si="304"/>
        <v>0</v>
      </c>
      <c r="GN117" s="973"/>
    </row>
    <row r="118" spans="1:196">
      <c r="A118" s="763" t="s">
        <v>507</v>
      </c>
      <c r="J118" s="770">
        <v>87</v>
      </c>
      <c r="BQ118" s="952"/>
      <c r="BW118" s="761"/>
      <c r="BZ118" s="952"/>
      <c r="CB118" s="761"/>
      <c r="CD118" s="952"/>
      <c r="CP118" s="761"/>
      <c r="CV118" s="761"/>
      <c r="DB118" s="761"/>
      <c r="DH118" s="761"/>
      <c r="DN118" s="761"/>
      <c r="DT118" s="761"/>
      <c r="DV118" s="977"/>
      <c r="EB118" s="761"/>
      <c r="ED118" s="978"/>
      <c r="EJ118" s="761"/>
      <c r="EP118" s="761"/>
      <c r="EV118" s="761"/>
      <c r="FB118" s="761"/>
      <c r="FD118" s="761"/>
      <c r="GL118" s="973">
        <f t="shared" si="304"/>
        <v>0</v>
      </c>
      <c r="GN118" s="973"/>
    </row>
    <row r="119" spans="1:196">
      <c r="A119" s="763" t="s">
        <v>528</v>
      </c>
      <c r="J119" s="758">
        <v>88</v>
      </c>
      <c r="BQ119" s="952"/>
      <c r="BW119" s="761"/>
      <c r="BZ119" s="952"/>
      <c r="CB119" s="761"/>
      <c r="CD119" s="952"/>
      <c r="CP119" s="761"/>
      <c r="CV119" s="761"/>
      <c r="DB119" s="761"/>
      <c r="DH119" s="761"/>
      <c r="DN119" s="761"/>
      <c r="DT119" s="761"/>
      <c r="DV119" s="977"/>
      <c r="EB119" s="761"/>
      <c r="ED119" s="978"/>
      <c r="EJ119" s="761"/>
      <c r="EP119" s="761"/>
      <c r="EV119" s="761"/>
      <c r="FB119" s="761"/>
      <c r="FD119" s="761"/>
      <c r="GL119" s="973">
        <f t="shared" si="304"/>
        <v>0</v>
      </c>
      <c r="GN119" s="973"/>
    </row>
    <row r="120" spans="1:196">
      <c r="J120" s="770">
        <v>89</v>
      </c>
      <c r="BQ120" s="952"/>
      <c r="BW120" s="761"/>
      <c r="BZ120" s="952"/>
      <c r="CB120" s="761"/>
      <c r="CD120" s="952"/>
      <c r="CP120" s="761"/>
      <c r="CV120" s="761"/>
      <c r="DB120" s="761"/>
      <c r="DH120" s="761"/>
      <c r="DN120" s="761"/>
      <c r="DT120" s="761"/>
      <c r="DV120" s="977"/>
      <c r="EB120" s="761"/>
      <c r="ED120" s="978"/>
      <c r="EJ120" s="761"/>
      <c r="EP120" s="761"/>
      <c r="EV120" s="761"/>
      <c r="FB120" s="761"/>
      <c r="FD120" s="761"/>
      <c r="GL120" s="973">
        <f t="shared" si="304"/>
        <v>0</v>
      </c>
      <c r="GN120" s="973"/>
    </row>
    <row r="121" spans="1:196">
      <c r="A121" s="763" t="s">
        <v>729</v>
      </c>
      <c r="J121" s="758">
        <v>90</v>
      </c>
      <c r="BQ121" s="952"/>
      <c r="BW121" s="761"/>
      <c r="BZ121" s="952"/>
      <c r="CB121" s="761"/>
      <c r="CD121" s="952"/>
      <c r="CP121" s="761"/>
      <c r="CV121" s="761"/>
      <c r="DB121" s="761"/>
      <c r="DH121" s="761"/>
      <c r="DN121" s="761"/>
      <c r="DT121" s="761"/>
      <c r="DV121" s="977"/>
      <c r="EB121" s="761"/>
      <c r="ED121" s="978"/>
      <c r="EJ121" s="761"/>
      <c r="EP121" s="761"/>
      <c r="EV121" s="761"/>
      <c r="FB121" s="761"/>
      <c r="FD121" s="761"/>
      <c r="GL121" s="973">
        <f t="shared" si="304"/>
        <v>0</v>
      </c>
      <c r="GN121" s="973"/>
    </row>
    <row r="122" spans="1:196">
      <c r="A122" s="763" t="str">
        <f>A11</f>
        <v>For the Year Ended June 30, 2023</v>
      </c>
      <c r="J122" s="770">
        <v>91</v>
      </c>
      <c r="BQ122" s="952"/>
      <c r="BW122" s="761"/>
      <c r="BZ122" s="952"/>
      <c r="CB122" s="761"/>
      <c r="CD122" s="952"/>
      <c r="CP122" s="761"/>
      <c r="CV122" s="761"/>
      <c r="DB122" s="761"/>
      <c r="DH122" s="761"/>
      <c r="DN122" s="761"/>
      <c r="DT122" s="761"/>
      <c r="DV122" s="977"/>
      <c r="EB122" s="761"/>
      <c r="ED122" s="978"/>
      <c r="EJ122" s="761"/>
      <c r="EP122" s="761"/>
      <c r="EV122" s="761"/>
      <c r="FB122" s="761"/>
      <c r="FD122" s="761"/>
      <c r="GL122" s="973">
        <f t="shared" si="304"/>
        <v>0</v>
      </c>
      <c r="GN122" s="973"/>
    </row>
    <row r="123" spans="1:196">
      <c r="J123" s="758">
        <v>92</v>
      </c>
      <c r="BQ123" s="952"/>
      <c r="BW123" s="761"/>
      <c r="BZ123" s="952"/>
      <c r="CB123" s="761"/>
      <c r="CD123" s="952"/>
      <c r="CP123" s="761"/>
      <c r="CV123" s="761"/>
      <c r="DB123" s="761"/>
      <c r="DH123" s="761"/>
      <c r="DN123" s="761"/>
      <c r="DT123" s="761"/>
      <c r="DV123" s="977"/>
      <c r="EB123" s="761"/>
      <c r="ED123" s="978"/>
      <c r="EJ123" s="761"/>
      <c r="EP123" s="761"/>
      <c r="EV123" s="761"/>
      <c r="FB123" s="761"/>
      <c r="FD123" s="761"/>
      <c r="GL123" s="973">
        <f t="shared" si="304"/>
        <v>0</v>
      </c>
      <c r="GN123" s="973"/>
    </row>
    <row r="124" spans="1:196" ht="12.75" customHeight="1">
      <c r="J124" s="770">
        <v>93</v>
      </c>
      <c r="BQ124" s="952"/>
      <c r="BW124" s="761"/>
      <c r="BZ124" s="952"/>
      <c r="CB124" s="761"/>
      <c r="CD124" s="952"/>
      <c r="CP124" s="761"/>
      <c r="CV124" s="761"/>
      <c r="DB124" s="761"/>
      <c r="DH124" s="761"/>
      <c r="DN124" s="761"/>
      <c r="DT124" s="761"/>
      <c r="DV124" s="977"/>
      <c r="EB124" s="761"/>
      <c r="ED124" s="978"/>
      <c r="EJ124" s="761"/>
      <c r="EP124" s="761"/>
      <c r="EV124" s="761"/>
      <c r="FB124" s="761"/>
      <c r="FD124" s="761"/>
      <c r="GL124" s="973">
        <f t="shared" si="304"/>
        <v>0</v>
      </c>
      <c r="GN124" s="973"/>
    </row>
    <row r="125" spans="1:196" ht="55.5" customHeight="1">
      <c r="A125" s="763" t="s">
        <v>238</v>
      </c>
      <c r="J125" s="758">
        <v>94</v>
      </c>
      <c r="K125" s="958" t="s">
        <v>656</v>
      </c>
      <c r="M125" s="774" t="s">
        <v>1711</v>
      </c>
      <c r="O125" s="774" t="s">
        <v>579</v>
      </c>
      <c r="P125" s="772"/>
      <c r="Q125" s="959" t="s">
        <v>278</v>
      </c>
      <c r="S125" s="774" t="s">
        <v>1711</v>
      </c>
      <c r="U125" s="774" t="s">
        <v>579</v>
      </c>
      <c r="V125" s="772"/>
      <c r="W125" s="958" t="s">
        <v>616</v>
      </c>
      <c r="Y125" s="774" t="s">
        <v>1711</v>
      </c>
      <c r="AA125" s="774" t="s">
        <v>579</v>
      </c>
      <c r="AB125" s="772"/>
      <c r="AC125" s="958" t="s">
        <v>487</v>
      </c>
      <c r="AE125" s="774" t="s">
        <v>1711</v>
      </c>
      <c r="AG125" s="774" t="s">
        <v>579</v>
      </c>
      <c r="AH125" s="772"/>
      <c r="AI125" s="959" t="s">
        <v>490</v>
      </c>
      <c r="AJ125" s="772"/>
      <c r="AK125" s="959" t="s">
        <v>1712</v>
      </c>
      <c r="AM125" s="774" t="s">
        <v>1711</v>
      </c>
      <c r="AO125" s="774" t="s">
        <v>579</v>
      </c>
      <c r="AP125" s="772"/>
      <c r="AQ125" s="958" t="s">
        <v>488</v>
      </c>
      <c r="AS125" s="774" t="s">
        <v>1711</v>
      </c>
      <c r="AU125" s="774" t="s">
        <v>579</v>
      </c>
      <c r="AV125" s="772"/>
      <c r="AW125" s="958" t="s">
        <v>35</v>
      </c>
      <c r="AY125" s="774" t="s">
        <v>1711</v>
      </c>
      <c r="BA125" s="774" t="s">
        <v>579</v>
      </c>
      <c r="BB125" s="772"/>
      <c r="BC125" s="959" t="s">
        <v>491</v>
      </c>
      <c r="BE125" s="774" t="s">
        <v>1711</v>
      </c>
      <c r="BG125" s="774" t="s">
        <v>579</v>
      </c>
      <c r="BH125" s="772"/>
      <c r="BI125" s="959" t="s">
        <v>1092</v>
      </c>
      <c r="BK125" s="774" t="s">
        <v>1711</v>
      </c>
      <c r="BM125" s="774" t="s">
        <v>579</v>
      </c>
      <c r="BN125" s="772"/>
      <c r="BO125" s="958" t="s">
        <v>489</v>
      </c>
      <c r="BQ125" s="960" t="s">
        <v>1713</v>
      </c>
      <c r="BS125" s="774" t="s">
        <v>1711</v>
      </c>
      <c r="BU125" s="774" t="s">
        <v>579</v>
      </c>
      <c r="BW125" s="959" t="s">
        <v>53</v>
      </c>
      <c r="BZ125" s="960" t="s">
        <v>1714</v>
      </c>
      <c r="CB125" s="773" t="str">
        <f>CB32</f>
        <v>Virginia Offshore Wind Development Authority</v>
      </c>
      <c r="CD125" s="960" t="str">
        <f>CD32</f>
        <v>Virginia Universities Clean Energy Development and Economic Stimulus Foundation</v>
      </c>
      <c r="CF125" s="774" t="s">
        <v>1711</v>
      </c>
      <c r="CH125" s="774" t="s">
        <v>579</v>
      </c>
      <c r="CJ125" s="958" t="str">
        <f>CJ32</f>
        <v>Virginia Health Workforce Development Authority
Preliminary</v>
      </c>
      <c r="CL125" s="774" t="s">
        <v>1711</v>
      </c>
      <c r="CN125" s="774" t="s">
        <v>579</v>
      </c>
      <c r="CP125" s="959" t="s">
        <v>54</v>
      </c>
      <c r="CR125" s="774" t="s">
        <v>1711</v>
      </c>
      <c r="CT125" s="774" t="s">
        <v>579</v>
      </c>
      <c r="CV125" s="962" t="s">
        <v>1716</v>
      </c>
      <c r="CX125" s="774" t="s">
        <v>1711</v>
      </c>
      <c r="CZ125" s="774" t="s">
        <v>579</v>
      </c>
      <c r="DB125" s="959" t="s">
        <v>55</v>
      </c>
      <c r="DD125" s="774" t="s">
        <v>1711</v>
      </c>
      <c r="DF125" s="774" t="s">
        <v>579</v>
      </c>
      <c r="DH125" s="962" t="s">
        <v>1717</v>
      </c>
      <c r="DJ125" s="774" t="s">
        <v>1711</v>
      </c>
      <c r="DL125" s="774" t="s">
        <v>579</v>
      </c>
      <c r="DN125" s="962" t="s">
        <v>1718</v>
      </c>
      <c r="DP125" s="774" t="s">
        <v>1711</v>
      </c>
      <c r="DR125" s="774" t="s">
        <v>579</v>
      </c>
      <c r="DT125" s="959" t="s">
        <v>983</v>
      </c>
      <c r="DV125" s="965">
        <f>DV32</f>
        <v>0</v>
      </c>
      <c r="DX125" s="774" t="s">
        <v>1711</v>
      </c>
      <c r="DZ125" s="774" t="s">
        <v>579</v>
      </c>
      <c r="EB125" s="959" t="s">
        <v>56</v>
      </c>
      <c r="ED125" s="966">
        <f>ED32</f>
        <v>0</v>
      </c>
      <c r="EF125" s="774" t="s">
        <v>1711</v>
      </c>
      <c r="EH125" s="774" t="s">
        <v>579</v>
      </c>
      <c r="EJ125" s="959" t="str">
        <f>EJ32</f>
        <v>Virginia Resources Authority
Preliminary</v>
      </c>
      <c r="EL125" s="774" t="s">
        <v>1711</v>
      </c>
      <c r="EN125" s="774" t="s">
        <v>579</v>
      </c>
      <c r="EP125" s="959" t="str">
        <f>EP32</f>
        <v>Virginia Housing Development Authority
Preliminary</v>
      </c>
      <c r="ER125" s="774" t="s">
        <v>1711</v>
      </c>
      <c r="ET125" s="774" t="s">
        <v>579</v>
      </c>
      <c r="EV125" s="959" t="str">
        <f>EV32</f>
        <v>Virginia Port Authority
Preliminary</v>
      </c>
      <c r="EX125" s="774" t="s">
        <v>1711</v>
      </c>
      <c r="EZ125" s="774" t="s">
        <v>579</v>
      </c>
      <c r="FB125" s="960"/>
      <c r="FD125" s="773" t="str">
        <f>FD32</f>
        <v>Virginia Solar Energy Development and Energy Storage Authority</v>
      </c>
      <c r="FF125" s="959" t="str">
        <f>FF32</f>
        <v>Virginia Public School Authority
Preliminary</v>
      </c>
      <c r="FH125" s="774" t="s">
        <v>1711</v>
      </c>
      <c r="FJ125" s="774" t="s">
        <v>579</v>
      </c>
      <c r="FL125" s="959" t="str">
        <f>FL32</f>
        <v>Virginia Innovation Partnership Authority
Preliminary</v>
      </c>
      <c r="FN125" s="774" t="s">
        <v>1711</v>
      </c>
      <c r="FP125" s="774" t="s">
        <v>579</v>
      </c>
      <c r="FR125" s="959" t="str">
        <f>FR32</f>
        <v>Virginia Passenger Rail Authority
Preliminary</v>
      </c>
      <c r="FT125" s="774" t="s">
        <v>1711</v>
      </c>
      <c r="FV125" s="774" t="s">
        <v>579</v>
      </c>
      <c r="FX125" s="962" t="s">
        <v>1719</v>
      </c>
      <c r="FZ125" s="774" t="s">
        <v>1711</v>
      </c>
      <c r="GB125" s="774" t="s">
        <v>579</v>
      </c>
      <c r="GD125" s="962" t="s">
        <v>1861</v>
      </c>
      <c r="GF125" s="774" t="s">
        <v>1711</v>
      </c>
      <c r="GH125" s="774" t="s">
        <v>579</v>
      </c>
      <c r="GL125" s="973">
        <f t="shared" si="304"/>
        <v>0</v>
      </c>
      <c r="GN125" s="973"/>
    </row>
    <row r="126" spans="1:196">
      <c r="A126" s="758" t="s">
        <v>612</v>
      </c>
      <c r="J126" s="770">
        <v>95</v>
      </c>
      <c r="K126" s="775"/>
      <c r="M126" s="775"/>
      <c r="O126" s="775">
        <f t="shared" ref="O126:O129" si="444">K126+M126</f>
        <v>0</v>
      </c>
      <c r="Q126" s="776">
        <v>43222</v>
      </c>
      <c r="S126" s="775"/>
      <c r="U126" s="775">
        <f t="shared" ref="U126:U129" si="445">Q126+S126</f>
        <v>43222</v>
      </c>
      <c r="W126" s="775">
        <v>597517</v>
      </c>
      <c r="Y126" s="775"/>
      <c r="AA126" s="775">
        <f t="shared" ref="AA126:AA129" si="446">W126+Y126</f>
        <v>597517</v>
      </c>
      <c r="AC126" s="775"/>
      <c r="AE126" s="775"/>
      <c r="AG126" s="775">
        <f t="shared" ref="AG126:AG129" si="447">AC126+AE126</f>
        <v>0</v>
      </c>
      <c r="AI126" s="775">
        <v>1430318</v>
      </c>
      <c r="AK126" s="970">
        <v>0</v>
      </c>
      <c r="AM126" s="775"/>
      <c r="AO126" s="775">
        <f t="shared" ref="AO126:AO129" si="448">AI126+AM126</f>
        <v>1430318</v>
      </c>
      <c r="AQ126" s="775"/>
      <c r="AS126" s="775"/>
      <c r="AU126" s="775">
        <f t="shared" ref="AU126:AU129" si="449">AQ126+AS126</f>
        <v>0</v>
      </c>
      <c r="AW126" s="775"/>
      <c r="AY126" s="775"/>
      <c r="BA126" s="775">
        <f t="shared" ref="BA126:BA129" si="450">AW126+AY126</f>
        <v>0</v>
      </c>
      <c r="BC126" s="775">
        <v>3748546</v>
      </c>
      <c r="BE126" s="775"/>
      <c r="BG126" s="775">
        <f t="shared" ref="BG126:BG129" si="451">BC126+BE126</f>
        <v>3748546</v>
      </c>
      <c r="BI126" s="776">
        <v>40035</v>
      </c>
      <c r="BK126" s="775"/>
      <c r="BM126" s="775">
        <f t="shared" ref="BM126:BM129" si="452">BI126+BK126</f>
        <v>40035</v>
      </c>
      <c r="BO126" s="775"/>
      <c r="BQ126" s="970"/>
      <c r="BS126" s="775"/>
      <c r="BU126" s="775">
        <f t="shared" ref="BU126:BU129" si="453">BO126+BS126</f>
        <v>0</v>
      </c>
      <c r="BW126" s="775">
        <v>1112453</v>
      </c>
      <c r="BZ126" s="970"/>
      <c r="CB126" s="775"/>
      <c r="CD126" s="970"/>
      <c r="CF126" s="775"/>
      <c r="CH126" s="775">
        <f t="shared" ref="CH126:CH129" si="454">BW126+CF126</f>
        <v>1112453</v>
      </c>
      <c r="CJ126" s="775">
        <v>243449</v>
      </c>
      <c r="CL126" s="775"/>
      <c r="CN126" s="775">
        <f t="shared" ref="CN126:CN129" si="455">CJ126+CL126</f>
        <v>243449</v>
      </c>
      <c r="CP126" s="775">
        <v>319037</v>
      </c>
      <c r="CR126" s="775"/>
      <c r="CT126" s="775">
        <f t="shared" ref="CT126:CT129" si="456">CP126+CR126</f>
        <v>319037</v>
      </c>
      <c r="CV126" s="775"/>
      <c r="CX126" s="775"/>
      <c r="CZ126" s="775">
        <f t="shared" ref="CZ126:CZ129" si="457">CV126+CX126</f>
        <v>0</v>
      </c>
      <c r="DB126" s="775">
        <v>62660000</v>
      </c>
      <c r="DD126" s="775"/>
      <c r="DF126" s="775">
        <f t="shared" ref="DF126:DF129" si="458">DB126+DD126</f>
        <v>62660000</v>
      </c>
      <c r="DH126" s="775">
        <v>40821</v>
      </c>
      <c r="DJ126" s="775"/>
      <c r="DL126" s="775">
        <f t="shared" ref="DL126:DL129" si="459">DH126+DJ126</f>
        <v>40821</v>
      </c>
      <c r="DN126" s="775">
        <v>125</v>
      </c>
      <c r="DP126" s="775"/>
      <c r="DR126" s="775">
        <f t="shared" ref="DR126:DR129" si="460">DN126+DP126</f>
        <v>125</v>
      </c>
      <c r="DT126" s="775">
        <v>458955</v>
      </c>
      <c r="DV126" s="971">
        <v>0</v>
      </c>
      <c r="DX126" s="775"/>
      <c r="DZ126" s="775">
        <f t="shared" ref="DZ126:DZ129" si="461">DT126+DX126</f>
        <v>458955</v>
      </c>
      <c r="EB126" s="775">
        <v>1828137</v>
      </c>
      <c r="ED126" s="972"/>
      <c r="EF126" s="775"/>
      <c r="EH126" s="775">
        <f t="shared" ref="EH126:EH129" si="462">EB126+EF126</f>
        <v>1828137</v>
      </c>
      <c r="EJ126" s="775">
        <v>90799</v>
      </c>
      <c r="EL126" s="775"/>
      <c r="EN126" s="775">
        <f t="shared" ref="EN126:EN129" si="463">EJ126+EL126</f>
        <v>90799</v>
      </c>
      <c r="EP126" s="775">
        <v>1131785</v>
      </c>
      <c r="ER126" s="775"/>
      <c r="ET126" s="775">
        <f t="shared" ref="ET126:ET129" si="464">EP126+ER126</f>
        <v>1131785</v>
      </c>
      <c r="EV126" s="776">
        <v>80396830</v>
      </c>
      <c r="EX126" s="775"/>
      <c r="EZ126" s="775">
        <f t="shared" ref="EZ126:EZ129" si="465">EV126+EX126</f>
        <v>80396830</v>
      </c>
      <c r="FB126" s="775"/>
      <c r="FD126" s="775"/>
      <c r="FF126" s="775">
        <v>129574</v>
      </c>
      <c r="FH126" s="775"/>
      <c r="FJ126" s="775">
        <f t="shared" ref="FJ126:FJ129" si="466">FF126+FH126</f>
        <v>129574</v>
      </c>
      <c r="FL126" s="775">
        <v>1322723</v>
      </c>
      <c r="FN126" s="775"/>
      <c r="FP126" s="775">
        <f t="shared" ref="FP126:FP129" si="467">FL126+FN126</f>
        <v>1322723</v>
      </c>
      <c r="FR126" s="775">
        <v>18152065</v>
      </c>
      <c r="FT126" s="775"/>
      <c r="FV126" s="775">
        <f t="shared" ref="FV126:FV129" si="468">FR126+FT126</f>
        <v>18152065</v>
      </c>
      <c r="FX126" s="775">
        <v>205031</v>
      </c>
      <c r="FZ126" s="775"/>
      <c r="GB126" s="775">
        <f t="shared" ref="GB126:GB129" si="469">FX126+FZ126</f>
        <v>205031</v>
      </c>
      <c r="GD126" s="775">
        <v>15964</v>
      </c>
      <c r="GF126" s="775"/>
      <c r="GH126" s="775">
        <v>15964</v>
      </c>
      <c r="GK126" s="761">
        <f t="shared" ref="GK126:GK130" si="470">O126+U126+AA126+AG126+AO126+AU126+BA126+BG126+BM126+BU126+CH126+CN126+CT126+CZ126+DF126+DL126+DR126+DZ126+EH126+EN126+ET126+EZ126+FJ126+FP126+FV126+GB126</f>
        <v>173951422</v>
      </c>
      <c r="GL126" s="973">
        <f t="shared" si="304"/>
        <v>173951.42199999999</v>
      </c>
      <c r="GM126" s="761">
        <f t="shared" ref="GM126:GM130" si="471">O126+U126+AA126+AG126+AO126+BA126+BG126+BM126+BU126+CH126+CN126+CT126+DF126+DZ126+EH126+EN126+ET126+EZ126+FJ126+FP126+FV126</f>
        <v>173705445</v>
      </c>
      <c r="GN126" s="973"/>
    </row>
    <row r="127" spans="1:196">
      <c r="A127" s="758" t="s">
        <v>74</v>
      </c>
      <c r="J127" s="758">
        <v>96</v>
      </c>
      <c r="K127" s="775"/>
      <c r="M127" s="775"/>
      <c r="O127" s="775">
        <f t="shared" si="444"/>
        <v>0</v>
      </c>
      <c r="Q127" s="776">
        <v>100352</v>
      </c>
      <c r="S127" s="775"/>
      <c r="U127" s="775">
        <f t="shared" si="445"/>
        <v>100352</v>
      </c>
      <c r="W127" s="775">
        <v>121521</v>
      </c>
      <c r="Y127" s="775">
        <v>-18930</v>
      </c>
      <c r="AA127" s="775">
        <f t="shared" si="446"/>
        <v>102591</v>
      </c>
      <c r="AC127" s="775"/>
      <c r="AE127" s="775">
        <v>2531</v>
      </c>
      <c r="AG127" s="775">
        <f t="shared" si="447"/>
        <v>2531</v>
      </c>
      <c r="AI127" s="775">
        <v>520028</v>
      </c>
      <c r="AK127" s="970">
        <v>0</v>
      </c>
      <c r="AM127" s="775">
        <v>-51689</v>
      </c>
      <c r="AO127" s="775">
        <f t="shared" si="448"/>
        <v>468339</v>
      </c>
      <c r="AQ127" s="775"/>
      <c r="AS127" s="775"/>
      <c r="AU127" s="775">
        <f t="shared" si="449"/>
        <v>0</v>
      </c>
      <c r="AW127" s="775">
        <v>145295</v>
      </c>
      <c r="AY127" s="775">
        <v>-8770</v>
      </c>
      <c r="BA127" s="775">
        <f t="shared" si="450"/>
        <v>136525</v>
      </c>
      <c r="BC127" s="775">
        <v>197019</v>
      </c>
      <c r="BE127" s="775"/>
      <c r="BG127" s="775">
        <f t="shared" si="451"/>
        <v>197019</v>
      </c>
      <c r="BI127" s="776">
        <v>57704</v>
      </c>
      <c r="BK127" s="775">
        <v>-57704</v>
      </c>
      <c r="BM127" s="775">
        <f t="shared" si="452"/>
        <v>0</v>
      </c>
      <c r="BO127" s="775"/>
      <c r="BQ127" s="970"/>
      <c r="BS127" s="775"/>
      <c r="BU127" s="775">
        <f t="shared" si="453"/>
        <v>0</v>
      </c>
      <c r="BW127" s="775">
        <v>95105</v>
      </c>
      <c r="BZ127" s="970"/>
      <c r="CB127" s="775"/>
      <c r="CD127" s="970"/>
      <c r="CF127" s="775">
        <v>-54121</v>
      </c>
      <c r="CH127" s="775">
        <f t="shared" si="454"/>
        <v>40984</v>
      </c>
      <c r="CJ127" s="775"/>
      <c r="CL127" s="775"/>
      <c r="CN127" s="775">
        <f t="shared" si="455"/>
        <v>0</v>
      </c>
      <c r="CP127" s="775">
        <v>218068</v>
      </c>
      <c r="CR127" s="775"/>
      <c r="CT127" s="775">
        <f t="shared" si="456"/>
        <v>218068</v>
      </c>
      <c r="CV127" s="775"/>
      <c r="CX127" s="775"/>
      <c r="CZ127" s="775">
        <f t="shared" si="457"/>
        <v>0</v>
      </c>
      <c r="DB127" s="775">
        <v>1393000</v>
      </c>
      <c r="DD127" s="775"/>
      <c r="DF127" s="775">
        <f t="shared" si="458"/>
        <v>1393000</v>
      </c>
      <c r="DH127" s="775"/>
      <c r="DJ127" s="775"/>
      <c r="DL127" s="775">
        <f t="shared" si="459"/>
        <v>0</v>
      </c>
      <c r="DN127" s="775"/>
      <c r="DP127" s="775"/>
      <c r="DR127" s="775">
        <f t="shared" si="460"/>
        <v>0</v>
      </c>
      <c r="DT127" s="775"/>
      <c r="DV127" s="971">
        <v>0</v>
      </c>
      <c r="DX127" s="775"/>
      <c r="DZ127" s="775">
        <f t="shared" si="461"/>
        <v>0</v>
      </c>
      <c r="EB127" s="776">
        <v>2053505</v>
      </c>
      <c r="ED127" s="972"/>
      <c r="EF127" s="775"/>
      <c r="EH127" s="775">
        <f t="shared" si="462"/>
        <v>2053505</v>
      </c>
      <c r="EJ127" s="775">
        <v>3555</v>
      </c>
      <c r="EL127" s="775"/>
      <c r="EN127" s="775">
        <f t="shared" si="463"/>
        <v>3555</v>
      </c>
      <c r="EP127" s="775">
        <v>6431249</v>
      </c>
      <c r="ER127" s="775"/>
      <c r="ET127" s="775">
        <f t="shared" si="464"/>
        <v>6431249</v>
      </c>
      <c r="EV127" s="776">
        <v>18696706</v>
      </c>
      <c r="EX127" s="775">
        <v>-7000</v>
      </c>
      <c r="EZ127" s="775">
        <f t="shared" si="465"/>
        <v>18689706</v>
      </c>
      <c r="FB127" s="775"/>
      <c r="FD127" s="775"/>
      <c r="FF127" s="775"/>
      <c r="FH127" s="775"/>
      <c r="FJ127" s="775">
        <f t="shared" si="466"/>
        <v>0</v>
      </c>
      <c r="FL127" s="775">
        <v>640</v>
      </c>
      <c r="FN127" s="775"/>
      <c r="FP127" s="775">
        <f t="shared" si="467"/>
        <v>640</v>
      </c>
      <c r="FR127" s="775">
        <v>157697</v>
      </c>
      <c r="FT127" s="775"/>
      <c r="FV127" s="775">
        <f t="shared" si="468"/>
        <v>157697</v>
      </c>
      <c r="FX127" s="775"/>
      <c r="FZ127" s="775"/>
      <c r="GB127" s="775">
        <f t="shared" si="469"/>
        <v>0</v>
      </c>
      <c r="GD127" s="775"/>
      <c r="GF127" s="775"/>
      <c r="GH127" s="775">
        <v>0</v>
      </c>
      <c r="GK127" s="761">
        <f t="shared" si="470"/>
        <v>29995761</v>
      </c>
      <c r="GL127" s="973">
        <f t="shared" si="304"/>
        <v>29995.760999999999</v>
      </c>
      <c r="GM127" s="761">
        <f t="shared" si="471"/>
        <v>29995761</v>
      </c>
      <c r="GN127" s="973"/>
    </row>
    <row r="128" spans="1:196">
      <c r="A128" s="758" t="s">
        <v>538</v>
      </c>
      <c r="I128" s="771"/>
      <c r="J128" s="770">
        <v>97</v>
      </c>
      <c r="K128" s="775"/>
      <c r="M128" s="775"/>
      <c r="O128" s="775">
        <f t="shared" si="444"/>
        <v>0</v>
      </c>
      <c r="Q128" s="775"/>
      <c r="S128" s="775"/>
      <c r="U128" s="775">
        <f t="shared" si="445"/>
        <v>0</v>
      </c>
      <c r="W128" s="775"/>
      <c r="Y128" s="775"/>
      <c r="AA128" s="775">
        <f t="shared" si="446"/>
        <v>0</v>
      </c>
      <c r="AC128" s="775"/>
      <c r="AE128" s="775"/>
      <c r="AG128" s="775">
        <f t="shared" si="447"/>
        <v>0</v>
      </c>
      <c r="AI128" s="775"/>
      <c r="AK128" s="970">
        <v>0</v>
      </c>
      <c r="AM128" s="775"/>
      <c r="AO128" s="775">
        <f t="shared" si="448"/>
        <v>0</v>
      </c>
      <c r="AQ128" s="775"/>
      <c r="AS128" s="775"/>
      <c r="AU128" s="775">
        <f t="shared" si="449"/>
        <v>0</v>
      </c>
      <c r="AW128" s="775"/>
      <c r="AY128" s="775"/>
      <c r="BA128" s="775">
        <f t="shared" si="450"/>
        <v>0</v>
      </c>
      <c r="BC128" s="775"/>
      <c r="BE128" s="775"/>
      <c r="BG128" s="775">
        <f t="shared" si="451"/>
        <v>0</v>
      </c>
      <c r="BI128" s="775"/>
      <c r="BK128" s="775"/>
      <c r="BM128" s="775">
        <f t="shared" si="452"/>
        <v>0</v>
      </c>
      <c r="BO128" s="775"/>
      <c r="BQ128" s="970"/>
      <c r="BS128" s="775"/>
      <c r="BU128" s="775">
        <f t="shared" si="453"/>
        <v>0</v>
      </c>
      <c r="BW128" s="775"/>
      <c r="BZ128" s="970"/>
      <c r="CB128" s="775"/>
      <c r="CD128" s="970"/>
      <c r="CF128" s="775"/>
      <c r="CH128" s="775">
        <f t="shared" si="454"/>
        <v>0</v>
      </c>
      <c r="CJ128" s="775"/>
      <c r="CL128" s="775"/>
      <c r="CN128" s="775">
        <f t="shared" si="455"/>
        <v>0</v>
      </c>
      <c r="CP128" s="775"/>
      <c r="CR128" s="775"/>
      <c r="CT128" s="775">
        <f t="shared" si="456"/>
        <v>0</v>
      </c>
      <c r="CV128" s="775"/>
      <c r="CX128" s="775"/>
      <c r="CZ128" s="775">
        <f t="shared" si="457"/>
        <v>0</v>
      </c>
      <c r="DB128" s="775">
        <v>17105000</v>
      </c>
      <c r="DD128" s="775"/>
      <c r="DF128" s="775">
        <f t="shared" si="458"/>
        <v>17105000</v>
      </c>
      <c r="DH128" s="775"/>
      <c r="DJ128" s="775"/>
      <c r="DL128" s="775">
        <f t="shared" si="459"/>
        <v>0</v>
      </c>
      <c r="DN128" s="775"/>
      <c r="DP128" s="775"/>
      <c r="DR128" s="775">
        <f t="shared" si="460"/>
        <v>0</v>
      </c>
      <c r="DT128" s="775"/>
      <c r="DV128" s="971">
        <v>0</v>
      </c>
      <c r="DX128" s="775"/>
      <c r="DZ128" s="775">
        <f t="shared" si="461"/>
        <v>0</v>
      </c>
      <c r="EB128" s="775"/>
      <c r="ED128" s="972"/>
      <c r="EF128" s="775"/>
      <c r="EH128" s="775">
        <f t="shared" si="462"/>
        <v>0</v>
      </c>
      <c r="EJ128" s="775"/>
      <c r="EL128" s="775"/>
      <c r="EN128" s="775">
        <f t="shared" si="463"/>
        <v>0</v>
      </c>
      <c r="EP128" s="775"/>
      <c r="ER128" s="775"/>
      <c r="ET128" s="775">
        <f t="shared" si="464"/>
        <v>0</v>
      </c>
      <c r="EV128" s="776">
        <v>5855407</v>
      </c>
      <c r="EX128" s="775"/>
      <c r="EZ128" s="775">
        <f t="shared" si="465"/>
        <v>5855407</v>
      </c>
      <c r="FB128" s="775"/>
      <c r="FD128" s="775"/>
      <c r="FF128" s="775"/>
      <c r="FH128" s="775"/>
      <c r="FJ128" s="775">
        <f t="shared" si="466"/>
        <v>0</v>
      </c>
      <c r="FL128" s="775"/>
      <c r="FN128" s="775"/>
      <c r="FP128" s="775">
        <f t="shared" si="467"/>
        <v>0</v>
      </c>
      <c r="FR128" s="775"/>
      <c r="FT128" s="775"/>
      <c r="FV128" s="775">
        <f t="shared" si="468"/>
        <v>0</v>
      </c>
      <c r="FX128" s="775"/>
      <c r="FZ128" s="775"/>
      <c r="GB128" s="775">
        <f t="shared" si="469"/>
        <v>0</v>
      </c>
      <c r="GD128" s="775"/>
      <c r="GF128" s="775"/>
      <c r="GH128" s="775">
        <v>0</v>
      </c>
      <c r="GK128" s="761">
        <f t="shared" si="470"/>
        <v>22960407</v>
      </c>
      <c r="GL128" s="973">
        <f t="shared" si="304"/>
        <v>22960.406999999999</v>
      </c>
      <c r="GM128" s="761">
        <f t="shared" si="471"/>
        <v>22960407</v>
      </c>
      <c r="GN128" s="973"/>
    </row>
    <row r="129" spans="1:196">
      <c r="A129" s="780" t="s">
        <v>75</v>
      </c>
      <c r="J129" s="758">
        <v>98</v>
      </c>
      <c r="K129" s="775"/>
      <c r="M129" s="775"/>
      <c r="O129" s="775">
        <f t="shared" si="444"/>
        <v>0</v>
      </c>
      <c r="Q129" s="775"/>
      <c r="S129" s="775"/>
      <c r="U129" s="775">
        <f t="shared" si="445"/>
        <v>0</v>
      </c>
      <c r="W129" s="775">
        <v>5280</v>
      </c>
      <c r="Y129" s="775"/>
      <c r="AA129" s="775">
        <f t="shared" si="446"/>
        <v>5280</v>
      </c>
      <c r="AC129" s="775"/>
      <c r="AE129" s="775"/>
      <c r="AG129" s="775">
        <f t="shared" si="447"/>
        <v>0</v>
      </c>
      <c r="AI129" s="776"/>
      <c r="AK129" s="970">
        <v>0</v>
      </c>
      <c r="AM129" s="775"/>
      <c r="AO129" s="775">
        <f t="shared" si="448"/>
        <v>0</v>
      </c>
      <c r="AQ129" s="775"/>
      <c r="AS129" s="775"/>
      <c r="AU129" s="775">
        <f t="shared" si="449"/>
        <v>0</v>
      </c>
      <c r="AW129" s="776"/>
      <c r="AY129" s="775"/>
      <c r="BA129" s="775">
        <f t="shared" si="450"/>
        <v>0</v>
      </c>
      <c r="BC129" s="776"/>
      <c r="BE129" s="775"/>
      <c r="BG129" s="775">
        <f t="shared" si="451"/>
        <v>0</v>
      </c>
      <c r="BI129" s="775"/>
      <c r="BK129" s="775"/>
      <c r="BM129" s="775">
        <f t="shared" si="452"/>
        <v>0</v>
      </c>
      <c r="BO129" s="775"/>
      <c r="BQ129" s="970"/>
      <c r="BS129" s="775"/>
      <c r="BU129" s="775">
        <f t="shared" si="453"/>
        <v>0</v>
      </c>
      <c r="BW129" s="775"/>
      <c r="BZ129" s="970"/>
      <c r="CB129" s="775"/>
      <c r="CD129" s="970"/>
      <c r="CF129" s="775"/>
      <c r="CH129" s="775">
        <f t="shared" si="454"/>
        <v>0</v>
      </c>
      <c r="CJ129" s="775"/>
      <c r="CL129" s="775"/>
      <c r="CN129" s="775">
        <f t="shared" si="455"/>
        <v>0</v>
      </c>
      <c r="CP129" s="776"/>
      <c r="CR129" s="775"/>
      <c r="CT129" s="775">
        <f t="shared" si="456"/>
        <v>0</v>
      </c>
      <c r="CV129" s="775"/>
      <c r="CX129" s="775"/>
      <c r="CZ129" s="775">
        <f t="shared" si="457"/>
        <v>0</v>
      </c>
      <c r="DB129" s="775"/>
      <c r="DD129" s="775"/>
      <c r="DF129" s="775">
        <f t="shared" si="458"/>
        <v>0</v>
      </c>
      <c r="DH129" s="776"/>
      <c r="DJ129" s="775"/>
      <c r="DL129" s="775">
        <f t="shared" si="459"/>
        <v>0</v>
      </c>
      <c r="DN129" s="775"/>
      <c r="DP129" s="775"/>
      <c r="DR129" s="775">
        <f t="shared" si="460"/>
        <v>0</v>
      </c>
      <c r="DT129" s="775"/>
      <c r="DV129" s="971">
        <v>0</v>
      </c>
      <c r="DX129" s="775"/>
      <c r="DZ129" s="775">
        <f t="shared" si="461"/>
        <v>0</v>
      </c>
      <c r="EB129" s="776"/>
      <c r="ED129" s="972">
        <v>0</v>
      </c>
      <c r="EF129" s="775"/>
      <c r="EH129" s="775">
        <f t="shared" si="462"/>
        <v>0</v>
      </c>
      <c r="EJ129" s="775"/>
      <c r="EL129" s="775"/>
      <c r="EN129" s="775">
        <f t="shared" si="463"/>
        <v>0</v>
      </c>
      <c r="EP129" s="775">
        <v>109620240</v>
      </c>
      <c r="ER129" s="775">
        <v>-6273455</v>
      </c>
      <c r="ET129" s="775">
        <f t="shared" si="464"/>
        <v>103346785</v>
      </c>
      <c r="EV129" s="776"/>
      <c r="EX129" s="775"/>
      <c r="EZ129" s="775">
        <f t="shared" si="465"/>
        <v>0</v>
      </c>
      <c r="FB129" s="775"/>
      <c r="FD129" s="775"/>
      <c r="FF129" s="775"/>
      <c r="FH129" s="775"/>
      <c r="FJ129" s="775">
        <f t="shared" si="466"/>
        <v>0</v>
      </c>
      <c r="FL129" s="775"/>
      <c r="FN129" s="775"/>
      <c r="FP129" s="775">
        <f t="shared" si="467"/>
        <v>0</v>
      </c>
      <c r="FR129" s="775"/>
      <c r="FT129" s="775"/>
      <c r="FV129" s="775">
        <f t="shared" si="468"/>
        <v>0</v>
      </c>
      <c r="FX129" s="775"/>
      <c r="FZ129" s="775"/>
      <c r="GB129" s="775">
        <f t="shared" si="469"/>
        <v>0</v>
      </c>
      <c r="GD129" s="775"/>
      <c r="GF129" s="775"/>
      <c r="GH129" s="775">
        <v>0</v>
      </c>
      <c r="GK129" s="761">
        <f t="shared" si="470"/>
        <v>103352065</v>
      </c>
      <c r="GL129" s="973">
        <f t="shared" si="304"/>
        <v>103352.065</v>
      </c>
      <c r="GM129" s="761">
        <f t="shared" si="471"/>
        <v>103352065</v>
      </c>
      <c r="GN129" s="973"/>
    </row>
    <row r="130" spans="1:196">
      <c r="B130" s="766" t="s">
        <v>239</v>
      </c>
      <c r="I130" s="771"/>
      <c r="J130" s="770">
        <v>99</v>
      </c>
      <c r="K130" s="777">
        <f>SUM(K126:K129)</f>
        <v>0</v>
      </c>
      <c r="M130" s="777">
        <f>SUM(M126:M129)</f>
        <v>0</v>
      </c>
      <c r="O130" s="777">
        <f>SUM(O126:O129)</f>
        <v>0</v>
      </c>
      <c r="Q130" s="777">
        <f>SUM(Q126:Q129)</f>
        <v>143574</v>
      </c>
      <c r="S130" s="777">
        <f>SUM(S126:S129)</f>
        <v>0</v>
      </c>
      <c r="U130" s="777">
        <f>SUM(U126:U129)</f>
        <v>143574</v>
      </c>
      <c r="W130" s="777">
        <f>SUM(W126:W129)</f>
        <v>724318</v>
      </c>
      <c r="Y130" s="777">
        <f>SUM(Y126:Y129)</f>
        <v>-18930</v>
      </c>
      <c r="AA130" s="777">
        <f>SUM(AA126:AA129)</f>
        <v>705388</v>
      </c>
      <c r="AC130" s="777">
        <f>SUM(AC126:AC129)</f>
        <v>0</v>
      </c>
      <c r="AE130" s="777">
        <f>SUM(AE126:AE129)</f>
        <v>2531</v>
      </c>
      <c r="AG130" s="777">
        <f>SUM(AG126:AG129)</f>
        <v>2531</v>
      </c>
      <c r="AI130" s="777">
        <f>SUM(AI126:AI129)</f>
        <v>1950346</v>
      </c>
      <c r="AK130" s="974">
        <f>SUM(AK126:AK129)</f>
        <v>0</v>
      </c>
      <c r="AM130" s="777">
        <f>SUM(AM126:AM129)</f>
        <v>-51689</v>
      </c>
      <c r="AO130" s="777">
        <f>SUM(AO126:AO129)</f>
        <v>1898657</v>
      </c>
      <c r="AQ130" s="777">
        <f>SUM(AQ126:AQ129)</f>
        <v>0</v>
      </c>
      <c r="AS130" s="777">
        <f>SUM(AS126:AS129)</f>
        <v>0</v>
      </c>
      <c r="AU130" s="777">
        <f>SUM(AU126:AU129)</f>
        <v>0</v>
      </c>
      <c r="AW130" s="777">
        <f>SUM(AW126:AW129)</f>
        <v>145295</v>
      </c>
      <c r="AY130" s="777">
        <f>SUM(AY126:AY129)</f>
        <v>-8770</v>
      </c>
      <c r="BA130" s="777">
        <f>SUM(BA126:BA129)</f>
        <v>136525</v>
      </c>
      <c r="BC130" s="777">
        <f>SUM(BC126:BC129)</f>
        <v>3945565</v>
      </c>
      <c r="BE130" s="777">
        <f>SUM(BE126:BE129)</f>
        <v>0</v>
      </c>
      <c r="BG130" s="777">
        <f>SUM(BG126:BG129)</f>
        <v>3945565</v>
      </c>
      <c r="BI130" s="777">
        <f>SUM(BI126:BI129)</f>
        <v>97739</v>
      </c>
      <c r="BK130" s="777">
        <f>SUM(BK126:BK129)</f>
        <v>-57704</v>
      </c>
      <c r="BM130" s="777">
        <f>SUM(BM126:BM129)</f>
        <v>40035</v>
      </c>
      <c r="BO130" s="777">
        <f>SUM(BO126:BO129)</f>
        <v>0</v>
      </c>
      <c r="BQ130" s="974">
        <f>SUM(BQ126:BQ129)</f>
        <v>0</v>
      </c>
      <c r="BS130" s="777">
        <f>SUM(BS126:BS129)</f>
        <v>0</v>
      </c>
      <c r="BU130" s="777">
        <f>SUM(BU126:BU129)</f>
        <v>0</v>
      </c>
      <c r="BW130" s="777">
        <f>SUM(BW126:BW129)</f>
        <v>1207558</v>
      </c>
      <c r="BZ130" s="974">
        <f>SUM(BZ126:BZ129)</f>
        <v>0</v>
      </c>
      <c r="CB130" s="777">
        <f>SUM(CB126:CB129)</f>
        <v>0</v>
      </c>
      <c r="CD130" s="974">
        <f>SUM(CD126:CD129)</f>
        <v>0</v>
      </c>
      <c r="CF130" s="777">
        <f>SUM(CF126:CF129)</f>
        <v>-54121</v>
      </c>
      <c r="CH130" s="777">
        <f>SUM(CH126:CH129)</f>
        <v>1153437</v>
      </c>
      <c r="CJ130" s="777">
        <f>SUM(CJ126:CJ129)</f>
        <v>243449</v>
      </c>
      <c r="CL130" s="777">
        <f>SUM(CL126:CL129)</f>
        <v>0</v>
      </c>
      <c r="CN130" s="777">
        <f>SUM(CN126:CN129)</f>
        <v>243449</v>
      </c>
      <c r="CP130" s="777">
        <f>SUM(CP126:CP129)</f>
        <v>537105</v>
      </c>
      <c r="CR130" s="777">
        <f>SUM(CR126:CR129)</f>
        <v>0</v>
      </c>
      <c r="CT130" s="777">
        <f>SUM(CT126:CT129)</f>
        <v>537105</v>
      </c>
      <c r="CV130" s="777">
        <f>SUM(CV126:CV129)</f>
        <v>0</v>
      </c>
      <c r="CX130" s="777">
        <f>SUM(CX126:CX129)</f>
        <v>0</v>
      </c>
      <c r="CZ130" s="777">
        <f>SUM(CZ126:CZ129)</f>
        <v>0</v>
      </c>
      <c r="DB130" s="777">
        <f>SUM(DB126:DB129)</f>
        <v>81158000</v>
      </c>
      <c r="DD130" s="777">
        <f>SUM(DD126:DD129)</f>
        <v>0</v>
      </c>
      <c r="DF130" s="777">
        <f>SUM(DF126:DF129)</f>
        <v>81158000</v>
      </c>
      <c r="DH130" s="777">
        <f>SUM(DH126:DH129)</f>
        <v>40821</v>
      </c>
      <c r="DJ130" s="777">
        <f>SUM(DJ126:DJ129)</f>
        <v>0</v>
      </c>
      <c r="DL130" s="777">
        <f>SUM(DL126:DL129)</f>
        <v>40821</v>
      </c>
      <c r="DN130" s="777">
        <f>SUM(DN126:DN129)</f>
        <v>125</v>
      </c>
      <c r="DP130" s="777">
        <f>SUM(DP126:DP129)</f>
        <v>0</v>
      </c>
      <c r="DR130" s="777">
        <f>SUM(DR126:DR129)</f>
        <v>125</v>
      </c>
      <c r="DT130" s="777">
        <f>SUM(DT126:DT129)</f>
        <v>458955</v>
      </c>
      <c r="DV130" s="975">
        <f>SUM(DV126:DV129)</f>
        <v>0</v>
      </c>
      <c r="DX130" s="777">
        <f>SUM(DX126:DX129)</f>
        <v>0</v>
      </c>
      <c r="DZ130" s="777">
        <f>SUM(DZ126:DZ129)</f>
        <v>458955</v>
      </c>
      <c r="EB130" s="777">
        <f>SUM(EB126:EB129)</f>
        <v>3881642</v>
      </c>
      <c r="ED130" s="976">
        <f>SUM(ED126:ED129)</f>
        <v>0</v>
      </c>
      <c r="EF130" s="777">
        <f>SUM(EF126:EF129)</f>
        <v>0</v>
      </c>
      <c r="EH130" s="777">
        <f>SUM(EH126:EH129)</f>
        <v>3881642</v>
      </c>
      <c r="EJ130" s="777">
        <f>SUM(EJ126:EJ129)</f>
        <v>94354</v>
      </c>
      <c r="EL130" s="777">
        <f>SUM(EL126:EL129)</f>
        <v>0</v>
      </c>
      <c r="EN130" s="777">
        <f>SUM(EN126:EN129)</f>
        <v>94354</v>
      </c>
      <c r="EP130" s="777">
        <f>SUM(EP126:EP129)</f>
        <v>117183274</v>
      </c>
      <c r="ER130" s="777">
        <f>SUM(ER126:ER129)</f>
        <v>-6273455</v>
      </c>
      <c r="ET130" s="777">
        <f>SUM(ET126:ET129)</f>
        <v>110909819</v>
      </c>
      <c r="EV130" s="777">
        <f>SUM(EV126:EV129)</f>
        <v>104948943</v>
      </c>
      <c r="EX130" s="777">
        <f>SUM(EX126:EX129)</f>
        <v>-7000</v>
      </c>
      <c r="EZ130" s="777">
        <f>SUM(EZ126:EZ129)</f>
        <v>104941943</v>
      </c>
      <c r="FB130" s="777">
        <f>SUM(FB126:FB129)</f>
        <v>0</v>
      </c>
      <c r="FD130" s="777">
        <f>SUM(FD126:FD129)</f>
        <v>0</v>
      </c>
      <c r="FF130" s="777">
        <f>SUM(FF126:FF129)</f>
        <v>129574</v>
      </c>
      <c r="FH130" s="777">
        <f>SUM(FH126:FH129)</f>
        <v>0</v>
      </c>
      <c r="FJ130" s="777">
        <f>SUM(FJ126:FJ129)</f>
        <v>129574</v>
      </c>
      <c r="FL130" s="777">
        <f>SUM(FL126:FL129)</f>
        <v>1323363</v>
      </c>
      <c r="FN130" s="777">
        <f>SUM(FN126:FN129)</f>
        <v>0</v>
      </c>
      <c r="FP130" s="777">
        <f>SUM(FP126:FP129)</f>
        <v>1323363</v>
      </c>
      <c r="FR130" s="777">
        <f>SUM(FR126:FR129)</f>
        <v>18309762</v>
      </c>
      <c r="FT130" s="777">
        <f>SUM(FT126:FT129)</f>
        <v>0</v>
      </c>
      <c r="FV130" s="777">
        <f>SUM(FV126:FV129)</f>
        <v>18309762</v>
      </c>
      <c r="FX130" s="777">
        <f>SUM(FX126:FX129)</f>
        <v>205031</v>
      </c>
      <c r="FZ130" s="777">
        <f>SUM(FZ126:FZ129)</f>
        <v>0</v>
      </c>
      <c r="GB130" s="777">
        <f>SUM(GB126:GB129)</f>
        <v>205031</v>
      </c>
      <c r="GD130" s="777">
        <v>15964</v>
      </c>
      <c r="GF130" s="777">
        <v>0</v>
      </c>
      <c r="GH130" s="777">
        <v>15964</v>
      </c>
      <c r="GK130" s="761">
        <f t="shared" si="470"/>
        <v>330259655</v>
      </c>
      <c r="GL130" s="973">
        <f t="shared" si="304"/>
        <v>330259.65500000003</v>
      </c>
      <c r="GM130" s="761">
        <f t="shared" si="471"/>
        <v>330013678</v>
      </c>
      <c r="GN130" s="973"/>
    </row>
    <row r="131" spans="1:196">
      <c r="J131" s="758">
        <v>100</v>
      </c>
      <c r="BQ131" s="952"/>
      <c r="BW131" s="761"/>
      <c r="BZ131" s="952"/>
      <c r="CB131" s="761"/>
      <c r="CD131" s="952"/>
      <c r="CP131" s="761"/>
      <c r="CV131" s="761"/>
      <c r="DB131" s="761"/>
      <c r="DH131" s="761"/>
      <c r="DN131" s="761"/>
      <c r="DT131" s="761"/>
      <c r="DV131" s="977"/>
      <c r="EB131" s="761"/>
      <c r="ED131" s="978"/>
      <c r="EJ131" s="761"/>
      <c r="EP131" s="761"/>
      <c r="EV131" s="761"/>
      <c r="FB131" s="761"/>
      <c r="FD131" s="761"/>
      <c r="GL131" s="973">
        <f t="shared" si="304"/>
        <v>0</v>
      </c>
      <c r="GN131" s="973"/>
    </row>
    <row r="132" spans="1:196">
      <c r="A132" s="758" t="s">
        <v>1725</v>
      </c>
      <c r="E132" s="982"/>
      <c r="J132" s="770">
        <v>101</v>
      </c>
      <c r="K132" s="775"/>
      <c r="M132" s="775"/>
      <c r="O132" s="775">
        <f>K132+M132</f>
        <v>0</v>
      </c>
      <c r="Q132" s="775"/>
      <c r="S132" s="775"/>
      <c r="U132" s="775">
        <f>Q132+S132</f>
        <v>0</v>
      </c>
      <c r="W132" s="775"/>
      <c r="Y132" s="775"/>
      <c r="AA132" s="775">
        <f>W132+Y132</f>
        <v>0</v>
      </c>
      <c r="AC132" s="775"/>
      <c r="AE132" s="775"/>
      <c r="AG132" s="775">
        <f>AC132+AE132</f>
        <v>0</v>
      </c>
      <c r="AI132" s="776"/>
      <c r="AK132" s="970"/>
      <c r="AM132" s="775"/>
      <c r="AO132" s="775">
        <f>AI132+AM132</f>
        <v>0</v>
      </c>
      <c r="AQ132" s="775"/>
      <c r="AS132" s="775"/>
      <c r="AU132" s="775">
        <f>AQ132+AS132</f>
        <v>0</v>
      </c>
      <c r="AW132" s="775"/>
      <c r="AY132" s="775"/>
      <c r="BA132" s="775">
        <f>AW132+AY132</f>
        <v>0</v>
      </c>
      <c r="BC132" s="775"/>
      <c r="BE132" s="775"/>
      <c r="BG132" s="775">
        <f>BC132+BE132</f>
        <v>0</v>
      </c>
      <c r="BI132" s="775"/>
      <c r="BK132" s="775"/>
      <c r="BM132" s="775">
        <f>BI132+BK132</f>
        <v>0</v>
      </c>
      <c r="BO132" s="775"/>
      <c r="BQ132" s="970"/>
      <c r="BS132" s="775"/>
      <c r="BU132" s="775">
        <f>BO132+BS132</f>
        <v>0</v>
      </c>
      <c r="BW132" s="775"/>
      <c r="BZ132" s="970"/>
      <c r="CB132" s="775"/>
      <c r="CD132" s="970"/>
      <c r="CF132" s="775"/>
      <c r="CH132" s="775">
        <f>BW132+CF132</f>
        <v>0</v>
      </c>
      <c r="CJ132" s="775"/>
      <c r="CL132" s="775"/>
      <c r="CN132" s="775">
        <f>CJ132+CL132</f>
        <v>0</v>
      </c>
      <c r="CP132" s="776"/>
      <c r="CR132" s="775"/>
      <c r="CT132" s="775">
        <f>CP132+CR132</f>
        <v>0</v>
      </c>
      <c r="CV132" s="775"/>
      <c r="CX132" s="775"/>
      <c r="CZ132" s="775">
        <f>CV132+CX132</f>
        <v>0</v>
      </c>
      <c r="DB132" s="775"/>
      <c r="DD132" s="775"/>
      <c r="DF132" s="775">
        <f>DB132+DD132</f>
        <v>0</v>
      </c>
      <c r="DH132" s="775"/>
      <c r="DJ132" s="775"/>
      <c r="DL132" s="775">
        <f>DH132+DJ132</f>
        <v>0</v>
      </c>
      <c r="DN132" s="775"/>
      <c r="DP132" s="775"/>
      <c r="DR132" s="775">
        <f>DN132+DP132</f>
        <v>0</v>
      </c>
      <c r="DT132" s="775"/>
      <c r="DV132" s="971"/>
      <c r="DX132" s="775"/>
      <c r="DZ132" s="775">
        <f>DT132+DX132</f>
        <v>0</v>
      </c>
      <c r="EB132" s="775"/>
      <c r="ED132" s="972"/>
      <c r="EF132" s="775"/>
      <c r="EH132" s="775">
        <f>EB132+EF132</f>
        <v>0</v>
      </c>
      <c r="EJ132" s="775"/>
      <c r="EL132" s="775"/>
      <c r="EN132" s="775">
        <f>EJ132+EL132</f>
        <v>0</v>
      </c>
      <c r="EP132" s="775"/>
      <c r="ER132" s="775"/>
      <c r="ET132" s="775">
        <f>EP132+ER132</f>
        <v>0</v>
      </c>
      <c r="EV132" s="775"/>
      <c r="EX132" s="775"/>
      <c r="EZ132" s="775">
        <f>EV132+EX132</f>
        <v>0</v>
      </c>
      <c r="FB132" s="775"/>
      <c r="FD132" s="775"/>
      <c r="FF132" s="775">
        <v>140216301</v>
      </c>
      <c r="FH132" s="775"/>
      <c r="FJ132" s="775">
        <f>FF132+FH132</f>
        <v>140216301</v>
      </c>
      <c r="FL132" s="775"/>
      <c r="FN132" s="775"/>
      <c r="FP132" s="775">
        <f>FL132+FN132</f>
        <v>0</v>
      </c>
      <c r="FR132" s="775"/>
      <c r="FT132" s="775"/>
      <c r="FV132" s="775">
        <f>FR132+FT132</f>
        <v>0</v>
      </c>
      <c r="FX132" s="775"/>
      <c r="FZ132" s="775"/>
      <c r="GB132" s="775">
        <f>FX132+FZ132</f>
        <v>0</v>
      </c>
      <c r="GD132" s="775"/>
      <c r="GF132" s="775"/>
      <c r="GH132" s="775">
        <v>0</v>
      </c>
      <c r="GK132" s="761">
        <f t="shared" ref="GK132:GK137" si="472">O132+U132+AA132+AG132+AO132+AU132+BA132+BG132+BM132+BU132+CH132+CN132+CT132+CZ132+DF132+DL132+DR132+DZ132+EH132+EN132+ET132+EZ132+FJ132+FP132+FV132+GB132</f>
        <v>140216301</v>
      </c>
      <c r="GL132" s="973">
        <f t="shared" si="304"/>
        <v>140216.30100000001</v>
      </c>
      <c r="GM132" s="761">
        <f t="shared" ref="GM132:GM137" si="473">O132+U132+AA132+AG132+AO132+BA132+BG132+BM132+BU132+CH132+CN132+CT132+DF132+DZ132+EH132+EN132+ET132+EZ132+FJ132+FP132+FV132</f>
        <v>140216301</v>
      </c>
      <c r="GN132" s="973"/>
    </row>
    <row r="133" spans="1:196">
      <c r="A133" s="766" t="s">
        <v>240</v>
      </c>
      <c r="B133" s="781"/>
      <c r="I133" s="771"/>
      <c r="J133" s="758">
        <v>102</v>
      </c>
      <c r="K133" s="775"/>
      <c r="M133" s="775"/>
      <c r="O133" s="775">
        <f t="shared" ref="O133:O137" si="474">K133+M133</f>
        <v>0</v>
      </c>
      <c r="Q133" s="775"/>
      <c r="S133" s="775"/>
      <c r="U133" s="775">
        <f t="shared" ref="U133:U137" si="475">Q133+S133</f>
        <v>0</v>
      </c>
      <c r="W133" s="775"/>
      <c r="Y133" s="775"/>
      <c r="AA133" s="775">
        <f t="shared" ref="AA133:AA137" si="476">W133+Y133</f>
        <v>0</v>
      </c>
      <c r="AC133" s="775"/>
      <c r="AE133" s="775"/>
      <c r="AG133" s="775">
        <f t="shared" ref="AG133:AG137" si="477">AC133+AE133</f>
        <v>0</v>
      </c>
      <c r="AI133" s="776"/>
      <c r="AK133" s="970">
        <v>0</v>
      </c>
      <c r="AM133" s="775"/>
      <c r="AO133" s="775">
        <f t="shared" ref="AO133:AO137" si="478">AI133+AM133</f>
        <v>0</v>
      </c>
      <c r="AQ133" s="775"/>
      <c r="AS133" s="775"/>
      <c r="AU133" s="775">
        <f t="shared" ref="AU133:AU137" si="479">AQ133+AS133</f>
        <v>0</v>
      </c>
      <c r="AW133" s="775"/>
      <c r="AY133" s="775"/>
      <c r="BA133" s="775">
        <f t="shared" ref="BA133:BA137" si="480">AW133+AY133</f>
        <v>0</v>
      </c>
      <c r="BC133" s="775"/>
      <c r="BE133" s="775"/>
      <c r="BG133" s="775">
        <f t="shared" ref="BG133:BG137" si="481">BC133+BE133</f>
        <v>0</v>
      </c>
      <c r="BI133" s="776"/>
      <c r="BK133" s="775"/>
      <c r="BM133" s="775">
        <f t="shared" ref="BM133:BM137" si="482">BI133+BK133</f>
        <v>0</v>
      </c>
      <c r="BO133" s="775"/>
      <c r="BQ133" s="970"/>
      <c r="BS133" s="775"/>
      <c r="BU133" s="775">
        <f t="shared" ref="BU133:BU137" si="483">BO133+BS133</f>
        <v>0</v>
      </c>
      <c r="BW133" s="775"/>
      <c r="BZ133" s="970"/>
      <c r="CB133" s="775"/>
      <c r="CD133" s="970"/>
      <c r="CF133" s="775"/>
      <c r="CH133" s="775">
        <f t="shared" ref="CH133:CH137" si="484">BW133+CF133</f>
        <v>0</v>
      </c>
      <c r="CJ133" s="775"/>
      <c r="CL133" s="775"/>
      <c r="CN133" s="775">
        <f t="shared" ref="CN133:CN137" si="485">CJ133+CL133</f>
        <v>0</v>
      </c>
      <c r="CP133" s="775"/>
      <c r="CR133" s="775"/>
      <c r="CT133" s="775">
        <f t="shared" ref="CT133:CT137" si="486">CP133+CR133</f>
        <v>0</v>
      </c>
      <c r="CV133" s="775"/>
      <c r="CX133" s="775"/>
      <c r="CZ133" s="775">
        <f t="shared" ref="CZ133:CZ137" si="487">CV133+CX133</f>
        <v>0</v>
      </c>
      <c r="DB133" s="775"/>
      <c r="DD133" s="775"/>
      <c r="DF133" s="775">
        <f t="shared" ref="DF133:DF137" si="488">DB133+DD133</f>
        <v>0</v>
      </c>
      <c r="DH133" s="775"/>
      <c r="DJ133" s="775"/>
      <c r="DL133" s="775">
        <f t="shared" ref="DL133:DL137" si="489">DH133+DJ133</f>
        <v>0</v>
      </c>
      <c r="DN133" s="775"/>
      <c r="DP133" s="775"/>
      <c r="DR133" s="775">
        <f t="shared" ref="DR133:DR137" si="490">DN133+DP133</f>
        <v>0</v>
      </c>
      <c r="DT133" s="775"/>
      <c r="DV133" s="971">
        <v>0</v>
      </c>
      <c r="DX133" s="775"/>
      <c r="DZ133" s="775">
        <f t="shared" ref="DZ133:DZ137" si="491">DT133+DX133</f>
        <v>0</v>
      </c>
      <c r="EB133" s="776"/>
      <c r="ED133" s="972">
        <v>0</v>
      </c>
      <c r="EF133" s="775"/>
      <c r="EH133" s="775">
        <f t="shared" ref="EH133:EH137" si="492">EB133+EF133</f>
        <v>0</v>
      </c>
      <c r="EJ133" s="775"/>
      <c r="EL133" s="775"/>
      <c r="EN133" s="775">
        <f t="shared" ref="EN133:EN137" si="493">EJ133+EL133</f>
        <v>0</v>
      </c>
      <c r="EP133" s="775"/>
      <c r="ER133" s="775"/>
      <c r="ET133" s="775">
        <f t="shared" ref="ET133:ET137" si="494">EP133+ER133</f>
        <v>0</v>
      </c>
      <c r="EV133" s="775"/>
      <c r="EX133" s="775"/>
      <c r="EZ133" s="775">
        <f t="shared" ref="EZ133:EZ137" si="495">EV133+EX133</f>
        <v>0</v>
      </c>
      <c r="FB133" s="775">
        <v>0</v>
      </c>
      <c r="FD133" s="775"/>
      <c r="FF133" s="775"/>
      <c r="FH133" s="775"/>
      <c r="FJ133" s="775">
        <f t="shared" ref="FJ133:FJ137" si="496">FF133+FH133</f>
        <v>0</v>
      </c>
      <c r="FL133" s="775"/>
      <c r="FN133" s="775"/>
      <c r="FP133" s="775">
        <f t="shared" ref="FP133:FP137" si="497">FL133+FN133</f>
        <v>0</v>
      </c>
      <c r="FR133" s="775"/>
      <c r="FT133" s="775"/>
      <c r="FV133" s="775">
        <f t="shared" ref="FV133:FV137" si="498">FR133+FT133</f>
        <v>0</v>
      </c>
      <c r="FX133" s="775"/>
      <c r="FZ133" s="775"/>
      <c r="GB133" s="775">
        <f t="shared" ref="GB133:GB137" si="499">FX133+FZ133</f>
        <v>0</v>
      </c>
      <c r="GD133" s="775">
        <v>243683247</v>
      </c>
      <c r="GF133" s="775"/>
      <c r="GH133" s="775">
        <v>243683247</v>
      </c>
      <c r="GK133" s="761">
        <f t="shared" si="472"/>
        <v>0</v>
      </c>
      <c r="GL133" s="973">
        <f t="shared" si="304"/>
        <v>0</v>
      </c>
      <c r="GM133" s="761">
        <f t="shared" si="473"/>
        <v>0</v>
      </c>
      <c r="GN133" s="973"/>
    </row>
    <row r="134" spans="1:196">
      <c r="A134" s="766" t="s">
        <v>465</v>
      </c>
      <c r="J134" s="770">
        <v>103</v>
      </c>
      <c r="K134" s="775"/>
      <c r="M134" s="775"/>
      <c r="O134" s="775">
        <f>K134+M134</f>
        <v>0</v>
      </c>
      <c r="Q134" s="775"/>
      <c r="S134" s="775"/>
      <c r="U134" s="775">
        <f t="shared" si="475"/>
        <v>0</v>
      </c>
      <c r="W134" s="775"/>
      <c r="Y134" s="775">
        <v>5322</v>
      </c>
      <c r="AA134" s="775">
        <f t="shared" si="476"/>
        <v>5322</v>
      </c>
      <c r="AC134" s="775"/>
      <c r="AE134" s="775"/>
      <c r="AG134" s="775">
        <f t="shared" si="477"/>
        <v>0</v>
      </c>
      <c r="AI134" s="775"/>
      <c r="AK134" s="970">
        <v>0</v>
      </c>
      <c r="AM134" s="775">
        <v>51689</v>
      </c>
      <c r="AO134" s="775">
        <f t="shared" si="478"/>
        <v>51689</v>
      </c>
      <c r="AQ134" s="775"/>
      <c r="AS134" s="775"/>
      <c r="AU134" s="775">
        <f t="shared" si="479"/>
        <v>0</v>
      </c>
      <c r="AW134" s="775"/>
      <c r="AY134" s="775"/>
      <c r="BA134" s="775">
        <f t="shared" si="480"/>
        <v>0</v>
      </c>
      <c r="BC134" s="775"/>
      <c r="BE134" s="775"/>
      <c r="BG134" s="775">
        <f t="shared" si="481"/>
        <v>0</v>
      </c>
      <c r="BI134" s="776">
        <v>7223</v>
      </c>
      <c r="BK134" s="775">
        <v>708477</v>
      </c>
      <c r="BM134" s="775">
        <f t="shared" si="482"/>
        <v>715700</v>
      </c>
      <c r="BO134" s="775"/>
      <c r="BQ134" s="970"/>
      <c r="BS134" s="775"/>
      <c r="BU134" s="775">
        <f t="shared" si="483"/>
        <v>0</v>
      </c>
      <c r="BW134" s="775"/>
      <c r="BZ134" s="970"/>
      <c r="CB134" s="775"/>
      <c r="CD134" s="970"/>
      <c r="CF134" s="775">
        <v>26121</v>
      </c>
      <c r="CH134" s="775">
        <f t="shared" si="484"/>
        <v>26121</v>
      </c>
      <c r="CJ134" s="775"/>
      <c r="CL134" s="775"/>
      <c r="CN134" s="775">
        <f t="shared" si="485"/>
        <v>0</v>
      </c>
      <c r="CP134" s="776"/>
      <c r="CR134" s="775"/>
      <c r="CT134" s="775">
        <f t="shared" si="486"/>
        <v>0</v>
      </c>
      <c r="CV134" s="775"/>
      <c r="CX134" s="775"/>
      <c r="CZ134" s="775">
        <f t="shared" si="487"/>
        <v>0</v>
      </c>
      <c r="DB134" s="775"/>
      <c r="DD134" s="775"/>
      <c r="DF134" s="775">
        <f t="shared" si="488"/>
        <v>0</v>
      </c>
      <c r="DH134" s="775"/>
      <c r="DJ134" s="775"/>
      <c r="DL134" s="775">
        <f t="shared" si="489"/>
        <v>0</v>
      </c>
      <c r="DN134" s="775">
        <v>1928740</v>
      </c>
      <c r="DP134" s="775"/>
      <c r="DR134" s="775">
        <f t="shared" si="490"/>
        <v>1928740</v>
      </c>
      <c r="DT134" s="775"/>
      <c r="DV134" s="971">
        <v>0</v>
      </c>
      <c r="DX134" s="775"/>
      <c r="DZ134" s="775">
        <f t="shared" si="491"/>
        <v>0</v>
      </c>
      <c r="EB134" s="775"/>
      <c r="ED134" s="972">
        <v>0</v>
      </c>
      <c r="EF134" s="775"/>
      <c r="EH134" s="775">
        <f t="shared" si="492"/>
        <v>0</v>
      </c>
      <c r="EJ134" s="775"/>
      <c r="EL134" s="775"/>
      <c r="EN134" s="775">
        <f t="shared" si="493"/>
        <v>0</v>
      </c>
      <c r="EP134" s="775"/>
      <c r="ER134" s="775"/>
      <c r="ET134" s="775">
        <f t="shared" si="494"/>
        <v>0</v>
      </c>
      <c r="EV134" s="775"/>
      <c r="EX134" s="775"/>
      <c r="EZ134" s="775">
        <f t="shared" si="495"/>
        <v>0</v>
      </c>
      <c r="FB134" s="775"/>
      <c r="FD134" s="775"/>
      <c r="FF134" s="775"/>
      <c r="FH134" s="775"/>
      <c r="FJ134" s="775">
        <f t="shared" si="496"/>
        <v>0</v>
      </c>
      <c r="FL134" s="775"/>
      <c r="FN134" s="775">
        <v>107644</v>
      </c>
      <c r="FP134" s="775">
        <f t="shared" si="497"/>
        <v>107644</v>
      </c>
      <c r="FR134" s="775"/>
      <c r="FT134" s="775"/>
      <c r="FV134" s="775">
        <f t="shared" si="498"/>
        <v>0</v>
      </c>
      <c r="FX134" s="775"/>
      <c r="FZ134" s="775"/>
      <c r="GB134" s="775">
        <f t="shared" si="499"/>
        <v>0</v>
      </c>
      <c r="GD134" s="775"/>
      <c r="GF134" s="775"/>
      <c r="GH134" s="775">
        <v>0</v>
      </c>
      <c r="GK134" s="761">
        <f t="shared" si="472"/>
        <v>2835216</v>
      </c>
      <c r="GL134" s="973">
        <f t="shared" si="304"/>
        <v>2835.2159999999999</v>
      </c>
      <c r="GM134" s="761">
        <f t="shared" si="473"/>
        <v>906476</v>
      </c>
      <c r="GN134" s="973"/>
    </row>
    <row r="135" spans="1:196">
      <c r="A135" s="766" t="s">
        <v>938</v>
      </c>
      <c r="I135" s="771"/>
      <c r="J135" s="758">
        <v>104</v>
      </c>
      <c r="K135" s="775"/>
      <c r="M135" s="775"/>
      <c r="O135" s="775">
        <f t="shared" si="474"/>
        <v>0</v>
      </c>
      <c r="Q135" s="775"/>
      <c r="S135" s="775"/>
      <c r="U135" s="775">
        <f t="shared" si="475"/>
        <v>0</v>
      </c>
      <c r="W135" s="775"/>
      <c r="Y135" s="775">
        <v>13608</v>
      </c>
      <c r="AA135" s="775">
        <f t="shared" si="476"/>
        <v>13608</v>
      </c>
      <c r="AC135" s="775"/>
      <c r="AE135" s="775"/>
      <c r="AG135" s="775">
        <f t="shared" si="477"/>
        <v>0</v>
      </c>
      <c r="AI135" s="776"/>
      <c r="AK135" s="970">
        <v>0</v>
      </c>
      <c r="AM135" s="775"/>
      <c r="AO135" s="775">
        <f t="shared" si="478"/>
        <v>0</v>
      </c>
      <c r="AQ135" s="775"/>
      <c r="AS135" s="775"/>
      <c r="AU135" s="775">
        <f t="shared" si="479"/>
        <v>0</v>
      </c>
      <c r="AW135" s="775"/>
      <c r="AY135" s="775">
        <v>8770</v>
      </c>
      <c r="BA135" s="775">
        <f t="shared" si="480"/>
        <v>8770</v>
      </c>
      <c r="BC135" s="775"/>
      <c r="BE135" s="775"/>
      <c r="BG135" s="775">
        <f t="shared" si="481"/>
        <v>0</v>
      </c>
      <c r="BI135" s="775">
        <v>8875</v>
      </c>
      <c r="BK135" s="775">
        <v>-2000</v>
      </c>
      <c r="BM135" s="775">
        <f t="shared" si="482"/>
        <v>6875</v>
      </c>
      <c r="BO135" s="775"/>
      <c r="BQ135" s="970"/>
      <c r="BS135" s="775"/>
      <c r="BU135" s="775">
        <f t="shared" si="483"/>
        <v>0</v>
      </c>
      <c r="BW135" s="775"/>
      <c r="BZ135" s="970"/>
      <c r="CB135" s="775"/>
      <c r="CD135" s="970"/>
      <c r="CF135" s="775">
        <v>28000</v>
      </c>
      <c r="CH135" s="775">
        <f t="shared" si="484"/>
        <v>28000</v>
      </c>
      <c r="CJ135" s="775"/>
      <c r="CL135" s="775"/>
      <c r="CN135" s="775">
        <f t="shared" si="485"/>
        <v>0</v>
      </c>
      <c r="CP135" s="775"/>
      <c r="CR135" s="775"/>
      <c r="CT135" s="775">
        <f t="shared" si="486"/>
        <v>0</v>
      </c>
      <c r="CV135" s="775"/>
      <c r="CX135" s="775"/>
      <c r="CZ135" s="775">
        <f t="shared" si="487"/>
        <v>0</v>
      </c>
      <c r="DB135" s="775"/>
      <c r="DD135" s="775"/>
      <c r="DF135" s="775">
        <f t="shared" si="488"/>
        <v>0</v>
      </c>
      <c r="DH135" s="775"/>
      <c r="DJ135" s="775"/>
      <c r="DL135" s="775">
        <f t="shared" si="489"/>
        <v>0</v>
      </c>
      <c r="DN135" s="775"/>
      <c r="DP135" s="775"/>
      <c r="DR135" s="775">
        <f t="shared" si="490"/>
        <v>0</v>
      </c>
      <c r="DT135" s="775"/>
      <c r="DV135" s="971">
        <v>0</v>
      </c>
      <c r="DX135" s="775"/>
      <c r="DZ135" s="775">
        <f t="shared" si="491"/>
        <v>0</v>
      </c>
      <c r="EB135" s="775"/>
      <c r="ED135" s="972"/>
      <c r="EF135" s="775"/>
      <c r="EH135" s="775">
        <f t="shared" si="492"/>
        <v>0</v>
      </c>
      <c r="EJ135" s="775"/>
      <c r="EL135" s="775"/>
      <c r="EN135" s="775">
        <f t="shared" si="493"/>
        <v>0</v>
      </c>
      <c r="EP135" s="775"/>
      <c r="ER135" s="775"/>
      <c r="ET135" s="775">
        <f t="shared" si="494"/>
        <v>0</v>
      </c>
      <c r="EV135" s="776"/>
      <c r="EX135" s="775">
        <v>7000</v>
      </c>
      <c r="EZ135" s="775">
        <f t="shared" si="495"/>
        <v>7000</v>
      </c>
      <c r="FB135" s="775"/>
      <c r="FD135" s="775"/>
      <c r="FF135" s="775"/>
      <c r="FH135" s="775"/>
      <c r="FJ135" s="775">
        <f t="shared" si="496"/>
        <v>0</v>
      </c>
      <c r="FL135" s="775"/>
      <c r="FN135" s="775"/>
      <c r="FP135" s="775">
        <f t="shared" si="497"/>
        <v>0</v>
      </c>
      <c r="FR135" s="775"/>
      <c r="FT135" s="775">
        <v>18000</v>
      </c>
      <c r="FV135" s="775">
        <f t="shared" si="498"/>
        <v>18000</v>
      </c>
      <c r="FX135" s="775"/>
      <c r="FZ135" s="775"/>
      <c r="GB135" s="775">
        <f t="shared" si="499"/>
        <v>0</v>
      </c>
      <c r="GD135" s="775"/>
      <c r="GF135" s="775"/>
      <c r="GH135" s="775">
        <v>0</v>
      </c>
      <c r="GK135" s="761">
        <f t="shared" si="472"/>
        <v>82253</v>
      </c>
      <c r="GL135" s="973">
        <f t="shared" si="304"/>
        <v>82.253</v>
      </c>
      <c r="GM135" s="761">
        <f t="shared" si="473"/>
        <v>82253</v>
      </c>
      <c r="GN135" s="973"/>
    </row>
    <row r="136" spans="1:196">
      <c r="A136" s="758" t="s">
        <v>69</v>
      </c>
      <c r="I136" s="771"/>
      <c r="J136" s="770">
        <v>105</v>
      </c>
      <c r="K136" s="775"/>
      <c r="M136" s="775"/>
      <c r="O136" s="775">
        <f t="shared" si="474"/>
        <v>0</v>
      </c>
      <c r="Q136" s="775">
        <v>1357500</v>
      </c>
      <c r="S136" s="775"/>
      <c r="U136" s="775">
        <f t="shared" si="475"/>
        <v>1357500</v>
      </c>
      <c r="W136" s="775"/>
      <c r="Y136" s="775"/>
      <c r="AA136" s="775">
        <f t="shared" si="476"/>
        <v>0</v>
      </c>
      <c r="AC136" s="775"/>
      <c r="AE136" s="775"/>
      <c r="AG136" s="775">
        <f t="shared" si="477"/>
        <v>0</v>
      </c>
      <c r="AI136" s="776">
        <v>178500</v>
      </c>
      <c r="AK136" s="970">
        <v>0</v>
      </c>
      <c r="AM136" s="775"/>
      <c r="AO136" s="775">
        <f t="shared" si="478"/>
        <v>178500</v>
      </c>
      <c r="AQ136" s="775"/>
      <c r="AS136" s="775"/>
      <c r="AU136" s="775">
        <f t="shared" si="479"/>
        <v>0</v>
      </c>
      <c r="AW136" s="775"/>
      <c r="AY136" s="775"/>
      <c r="BA136" s="775">
        <f t="shared" si="480"/>
        <v>0</v>
      </c>
      <c r="BC136" s="775"/>
      <c r="BE136" s="775"/>
      <c r="BG136" s="775">
        <f t="shared" si="481"/>
        <v>0</v>
      </c>
      <c r="BI136" s="775"/>
      <c r="BK136" s="775"/>
      <c r="BM136" s="775">
        <f t="shared" si="482"/>
        <v>0</v>
      </c>
      <c r="BO136" s="775"/>
      <c r="BQ136" s="970"/>
      <c r="BS136" s="775"/>
      <c r="BU136" s="775">
        <f t="shared" si="483"/>
        <v>0</v>
      </c>
      <c r="BW136" s="775">
        <v>241460</v>
      </c>
      <c r="BZ136" s="970"/>
      <c r="CB136" s="775"/>
      <c r="CD136" s="970"/>
      <c r="CF136" s="775"/>
      <c r="CH136" s="775">
        <f t="shared" si="484"/>
        <v>241460</v>
      </c>
      <c r="CJ136" s="775"/>
      <c r="CL136" s="775"/>
      <c r="CN136" s="775">
        <f t="shared" si="485"/>
        <v>0</v>
      </c>
      <c r="CP136" s="775"/>
      <c r="CR136" s="775"/>
      <c r="CT136" s="775">
        <f t="shared" si="486"/>
        <v>0</v>
      </c>
      <c r="CV136" s="775"/>
      <c r="CX136" s="775"/>
      <c r="CZ136" s="775">
        <f t="shared" si="487"/>
        <v>0</v>
      </c>
      <c r="DB136" s="775"/>
      <c r="DD136" s="775"/>
      <c r="DF136" s="775">
        <f t="shared" si="488"/>
        <v>0</v>
      </c>
      <c r="DH136" s="775">
        <v>79295</v>
      </c>
      <c r="DJ136" s="775"/>
      <c r="DL136" s="775">
        <f t="shared" si="489"/>
        <v>79295</v>
      </c>
      <c r="DN136" s="775">
        <v>396382</v>
      </c>
      <c r="DP136" s="775"/>
      <c r="DR136" s="775">
        <f t="shared" si="490"/>
        <v>396382</v>
      </c>
      <c r="DT136" s="775">
        <v>480</v>
      </c>
      <c r="DV136" s="971">
        <v>0</v>
      </c>
      <c r="DX136" s="775"/>
      <c r="DZ136" s="775">
        <f t="shared" si="491"/>
        <v>480</v>
      </c>
      <c r="EB136" s="775">
        <v>11800</v>
      </c>
      <c r="ED136" s="972"/>
      <c r="EF136" s="775"/>
      <c r="EH136" s="775">
        <f t="shared" si="492"/>
        <v>11800</v>
      </c>
      <c r="EJ136" s="775"/>
      <c r="EL136" s="775"/>
      <c r="EN136" s="775">
        <f t="shared" si="493"/>
        <v>0</v>
      </c>
      <c r="EP136" s="775"/>
      <c r="ER136" s="775"/>
      <c r="ET136" s="775">
        <f t="shared" si="494"/>
        <v>0</v>
      </c>
      <c r="EV136" s="776">
        <v>76688399</v>
      </c>
      <c r="EX136" s="775"/>
      <c r="EZ136" s="775">
        <f t="shared" si="495"/>
        <v>76688399</v>
      </c>
      <c r="FB136" s="775"/>
      <c r="FD136" s="775"/>
      <c r="FF136" s="775"/>
      <c r="FH136" s="775"/>
      <c r="FJ136" s="775">
        <f t="shared" si="496"/>
        <v>0</v>
      </c>
      <c r="FL136" s="775">
        <v>13147817</v>
      </c>
      <c r="FN136" s="775"/>
      <c r="FP136" s="775">
        <f t="shared" si="497"/>
        <v>13147817</v>
      </c>
      <c r="FR136" s="775">
        <v>66309529</v>
      </c>
      <c r="FT136" s="775"/>
      <c r="FV136" s="775">
        <f t="shared" si="498"/>
        <v>66309529</v>
      </c>
      <c r="FX136" s="775"/>
      <c r="FZ136" s="775"/>
      <c r="GB136" s="775">
        <f t="shared" si="499"/>
        <v>0</v>
      </c>
      <c r="GD136" s="775"/>
      <c r="GF136" s="775"/>
      <c r="GH136" s="775">
        <v>0</v>
      </c>
      <c r="GK136" s="761">
        <f t="shared" si="472"/>
        <v>158411162</v>
      </c>
      <c r="GL136" s="973">
        <f t="shared" si="304"/>
        <v>158411.16200000001</v>
      </c>
      <c r="GM136" s="761">
        <f t="shared" si="473"/>
        <v>157935485</v>
      </c>
      <c r="GN136" s="973"/>
    </row>
    <row r="137" spans="1:196">
      <c r="A137" s="766" t="s">
        <v>225</v>
      </c>
      <c r="I137" s="771"/>
      <c r="J137" s="758">
        <v>106</v>
      </c>
      <c r="K137" s="775"/>
      <c r="M137" s="775"/>
      <c r="O137" s="775">
        <f t="shared" si="474"/>
        <v>0</v>
      </c>
      <c r="Q137" s="775"/>
      <c r="S137" s="775"/>
      <c r="U137" s="775">
        <f t="shared" si="475"/>
        <v>0</v>
      </c>
      <c r="W137" s="775">
        <v>2569746</v>
      </c>
      <c r="Y137" s="775"/>
      <c r="AA137" s="775">
        <f t="shared" si="476"/>
        <v>2569746</v>
      </c>
      <c r="AC137" s="776">
        <v>2591840</v>
      </c>
      <c r="AE137" s="775"/>
      <c r="AG137" s="775">
        <f t="shared" si="477"/>
        <v>2591840</v>
      </c>
      <c r="AI137" s="775"/>
      <c r="AK137" s="970">
        <v>0</v>
      </c>
      <c r="AM137" s="775"/>
      <c r="AO137" s="775">
        <f t="shared" si="478"/>
        <v>0</v>
      </c>
      <c r="AQ137" s="775"/>
      <c r="AS137" s="775"/>
      <c r="AU137" s="775">
        <f t="shared" si="479"/>
        <v>0</v>
      </c>
      <c r="AW137" s="775">
        <v>1103482</v>
      </c>
      <c r="AY137" s="775"/>
      <c r="BA137" s="775">
        <f t="shared" si="480"/>
        <v>1103482</v>
      </c>
      <c r="BC137" s="775"/>
      <c r="BE137" s="775"/>
      <c r="BG137" s="775">
        <f t="shared" si="481"/>
        <v>0</v>
      </c>
      <c r="BI137" s="776">
        <v>768470</v>
      </c>
      <c r="BK137" s="775"/>
      <c r="BM137" s="775">
        <f t="shared" si="482"/>
        <v>768470</v>
      </c>
      <c r="BO137" s="775"/>
      <c r="BQ137" s="970"/>
      <c r="BS137" s="775"/>
      <c r="BU137" s="775">
        <f t="shared" si="483"/>
        <v>0</v>
      </c>
      <c r="BW137" s="775"/>
      <c r="BZ137" s="970"/>
      <c r="CB137" s="775"/>
      <c r="CD137" s="970"/>
      <c r="CF137" s="775"/>
      <c r="CH137" s="775">
        <f t="shared" si="484"/>
        <v>0</v>
      </c>
      <c r="CJ137" s="775"/>
      <c r="CL137" s="775"/>
      <c r="CN137" s="775">
        <f t="shared" si="485"/>
        <v>0</v>
      </c>
      <c r="CP137" s="775"/>
      <c r="CR137" s="775"/>
      <c r="CT137" s="775">
        <f t="shared" si="486"/>
        <v>0</v>
      </c>
      <c r="CV137" s="775"/>
      <c r="CX137" s="775"/>
      <c r="CZ137" s="775">
        <f t="shared" si="487"/>
        <v>0</v>
      </c>
      <c r="DB137" s="775"/>
      <c r="DD137" s="775"/>
      <c r="DF137" s="775">
        <f t="shared" si="488"/>
        <v>0</v>
      </c>
      <c r="DH137" s="775"/>
      <c r="DJ137" s="775"/>
      <c r="DL137" s="775">
        <f t="shared" si="489"/>
        <v>0</v>
      </c>
      <c r="DN137" s="775"/>
      <c r="DP137" s="775"/>
      <c r="DR137" s="775">
        <f t="shared" si="490"/>
        <v>0</v>
      </c>
      <c r="DT137" s="775"/>
      <c r="DV137" s="971">
        <v>0</v>
      </c>
      <c r="DX137" s="775"/>
      <c r="DZ137" s="775">
        <f t="shared" si="491"/>
        <v>0</v>
      </c>
      <c r="EB137" s="775"/>
      <c r="ED137" s="972">
        <v>0</v>
      </c>
      <c r="EF137" s="775"/>
      <c r="EH137" s="775">
        <f t="shared" si="492"/>
        <v>0</v>
      </c>
      <c r="EJ137" s="775"/>
      <c r="EL137" s="775"/>
      <c r="EN137" s="775">
        <f t="shared" si="493"/>
        <v>0</v>
      </c>
      <c r="EP137" s="775"/>
      <c r="ER137" s="775"/>
      <c r="ET137" s="775">
        <f t="shared" si="494"/>
        <v>0</v>
      </c>
      <c r="EV137" s="776">
        <v>6173463</v>
      </c>
      <c r="EX137" s="775">
        <v>1648397</v>
      </c>
      <c r="EZ137" s="775">
        <f t="shared" si="495"/>
        <v>7821860</v>
      </c>
      <c r="FB137" s="775"/>
      <c r="FD137" s="775"/>
      <c r="FF137" s="775"/>
      <c r="FH137" s="775"/>
      <c r="FJ137" s="775">
        <f t="shared" si="496"/>
        <v>0</v>
      </c>
      <c r="FL137" s="775"/>
      <c r="FN137" s="775"/>
      <c r="FP137" s="775">
        <f t="shared" si="497"/>
        <v>0</v>
      </c>
      <c r="FR137" s="775"/>
      <c r="FT137" s="775"/>
      <c r="FV137" s="775">
        <f t="shared" si="498"/>
        <v>0</v>
      </c>
      <c r="FX137" s="775"/>
      <c r="FZ137" s="775"/>
      <c r="GB137" s="775">
        <f t="shared" si="499"/>
        <v>0</v>
      </c>
      <c r="GD137" s="775"/>
      <c r="GF137" s="775"/>
      <c r="GH137" s="775">
        <v>0</v>
      </c>
      <c r="GK137" s="761">
        <f t="shared" si="472"/>
        <v>14855398</v>
      </c>
      <c r="GL137" s="973">
        <f t="shared" si="304"/>
        <v>14855.397999999999</v>
      </c>
      <c r="GM137" s="761">
        <f t="shared" si="473"/>
        <v>14855398</v>
      </c>
      <c r="GN137" s="973"/>
    </row>
    <row r="138" spans="1:196" hidden="1">
      <c r="I138" s="771"/>
      <c r="J138" s="770">
        <v>107</v>
      </c>
      <c r="BQ138" s="952"/>
      <c r="BW138" s="761"/>
      <c r="BZ138" s="952"/>
      <c r="CB138" s="761"/>
      <c r="CD138" s="952"/>
      <c r="CP138" s="761"/>
      <c r="CV138" s="761"/>
      <c r="DB138" s="761"/>
      <c r="DH138" s="761"/>
      <c r="DN138" s="761"/>
      <c r="DT138" s="761"/>
      <c r="DV138" s="977"/>
      <c r="EB138" s="761"/>
      <c r="ED138" s="978"/>
      <c r="EJ138" s="761"/>
      <c r="EP138" s="761"/>
      <c r="EV138" s="761"/>
      <c r="FB138" s="761"/>
      <c r="FD138" s="761"/>
      <c r="GL138" s="973">
        <f t="shared" si="304"/>
        <v>0</v>
      </c>
      <c r="GN138" s="973"/>
    </row>
    <row r="139" spans="1:196">
      <c r="J139" s="758">
        <v>108</v>
      </c>
      <c r="BQ139" s="952"/>
      <c r="BW139" s="761"/>
      <c r="BZ139" s="952"/>
      <c r="CB139" s="761"/>
      <c r="CD139" s="952"/>
      <c r="CP139" s="761"/>
      <c r="CV139" s="761"/>
      <c r="DB139" s="761"/>
      <c r="DH139" s="761"/>
      <c r="DN139" s="761"/>
      <c r="DT139" s="761"/>
      <c r="DV139" s="977"/>
      <c r="EB139" s="761"/>
      <c r="ED139" s="978"/>
      <c r="EJ139" s="761"/>
      <c r="EP139" s="761"/>
      <c r="EV139" s="761"/>
      <c r="FB139" s="761"/>
      <c r="FD139" s="761"/>
      <c r="GL139" s="973">
        <f t="shared" si="304"/>
        <v>0</v>
      </c>
      <c r="GN139" s="973"/>
    </row>
    <row r="140" spans="1:196">
      <c r="A140" s="758" t="s">
        <v>241</v>
      </c>
      <c r="I140" s="771"/>
      <c r="J140" s="770">
        <v>109</v>
      </c>
      <c r="K140" s="775"/>
      <c r="M140" s="775"/>
      <c r="O140" s="775">
        <f t="shared" ref="O140:O144" si="500">K140+M140</f>
        <v>0</v>
      </c>
      <c r="Q140" s="775"/>
      <c r="S140" s="775"/>
      <c r="U140" s="775">
        <f t="shared" ref="U140:U144" si="501">Q140+S140</f>
        <v>0</v>
      </c>
      <c r="W140" s="775"/>
      <c r="Y140" s="775"/>
      <c r="AA140" s="775">
        <f t="shared" ref="AA140:AA144" si="502">W140+Y140</f>
        <v>0</v>
      </c>
      <c r="AC140" s="775"/>
      <c r="AE140" s="775"/>
      <c r="AG140" s="775">
        <f t="shared" ref="AG140:AG144" si="503">AC140+AE140</f>
        <v>0</v>
      </c>
      <c r="AI140" s="775"/>
      <c r="AK140" s="970">
        <v>0</v>
      </c>
      <c r="AM140" s="775"/>
      <c r="AO140" s="775">
        <f t="shared" ref="AO140:AO144" si="504">AI140+AM140</f>
        <v>0</v>
      </c>
      <c r="AQ140" s="775"/>
      <c r="AS140" s="775"/>
      <c r="AU140" s="775">
        <f t="shared" ref="AU140:AU144" si="505">AQ140+AS140</f>
        <v>0</v>
      </c>
      <c r="AW140" s="775"/>
      <c r="AY140" s="775"/>
      <c r="BA140" s="775">
        <f t="shared" ref="BA140:BA144" si="506">AW140+AY140</f>
        <v>0</v>
      </c>
      <c r="BC140" s="775"/>
      <c r="BE140" s="775"/>
      <c r="BG140" s="775">
        <f t="shared" ref="BG140:BG144" si="507">BC140+BE140</f>
        <v>0</v>
      </c>
      <c r="BI140" s="775"/>
      <c r="BK140" s="775"/>
      <c r="BM140" s="775">
        <f t="shared" ref="BM140:BM144" si="508">BI140+BK140</f>
        <v>0</v>
      </c>
      <c r="BO140" s="775"/>
      <c r="BQ140" s="970"/>
      <c r="BS140" s="775"/>
      <c r="BU140" s="775">
        <f t="shared" ref="BU140:BU144" si="509">BO140+BS140</f>
        <v>0</v>
      </c>
      <c r="BW140" s="775"/>
      <c r="BZ140" s="970"/>
      <c r="CB140" s="775"/>
      <c r="CD140" s="970"/>
      <c r="CF140" s="775"/>
      <c r="CH140" s="775">
        <f t="shared" ref="CH140:CH144" si="510">BW140+CF140</f>
        <v>0</v>
      </c>
      <c r="CJ140" s="775"/>
      <c r="CL140" s="775"/>
      <c r="CN140" s="775">
        <f t="shared" ref="CN140:CN144" si="511">CJ140+CL140</f>
        <v>0</v>
      </c>
      <c r="CP140" s="775"/>
      <c r="CR140" s="775"/>
      <c r="CT140" s="775">
        <f t="shared" ref="CT140:CT144" si="512">CP140+CR140</f>
        <v>0</v>
      </c>
      <c r="CV140" s="775"/>
      <c r="CX140" s="775"/>
      <c r="CZ140" s="775">
        <f t="shared" ref="CZ140:CZ144" si="513">CV140+CX140</f>
        <v>0</v>
      </c>
      <c r="DB140" s="775">
        <v>8492000</v>
      </c>
      <c r="DD140" s="775"/>
      <c r="DF140" s="775">
        <f t="shared" ref="DF140:DF144" si="514">DB140+DD140</f>
        <v>8492000</v>
      </c>
      <c r="DH140" s="775"/>
      <c r="DJ140" s="775"/>
      <c r="DL140" s="775">
        <f t="shared" ref="DL140:DL144" si="515">DH140+DJ140</f>
        <v>0</v>
      </c>
      <c r="DN140" s="775"/>
      <c r="DP140" s="775"/>
      <c r="DR140" s="775">
        <f t="shared" ref="DR140:DR144" si="516">DN140+DP140</f>
        <v>0</v>
      </c>
      <c r="DT140" s="775"/>
      <c r="DV140" s="971">
        <v>0</v>
      </c>
      <c r="DX140" s="775"/>
      <c r="DZ140" s="775">
        <f t="shared" ref="DZ140:DZ144" si="517">DT140+DX140</f>
        <v>0</v>
      </c>
      <c r="EB140" s="775">
        <v>17206</v>
      </c>
      <c r="ED140" s="972"/>
      <c r="EF140" s="775"/>
      <c r="EH140" s="775">
        <f t="shared" ref="EH140:EH144" si="518">EB140+EF140</f>
        <v>17206</v>
      </c>
      <c r="EJ140" s="775">
        <v>20819556</v>
      </c>
      <c r="EL140" s="775"/>
      <c r="EN140" s="775">
        <f t="shared" ref="EN140:EN144" si="519">EJ140+EL140</f>
        <v>20819556</v>
      </c>
      <c r="EP140" s="775">
        <v>35391669</v>
      </c>
      <c r="ER140" s="775"/>
      <c r="ET140" s="775">
        <f t="shared" ref="ET140:ET144" si="520">EP140+ER140</f>
        <v>35391669</v>
      </c>
      <c r="EV140" s="775">
        <v>8553827</v>
      </c>
      <c r="EX140" s="775"/>
      <c r="EZ140" s="775">
        <f t="shared" ref="EZ140:EZ144" si="521">EV140+EX140</f>
        <v>8553827</v>
      </c>
      <c r="FB140" s="775"/>
      <c r="FD140" s="775"/>
      <c r="FF140" s="775">
        <v>56613238</v>
      </c>
      <c r="FH140" s="775"/>
      <c r="FJ140" s="775">
        <f t="shared" ref="FJ140:FJ144" si="522">FF140+FH140</f>
        <v>56613238</v>
      </c>
      <c r="FL140" s="775"/>
      <c r="FN140" s="775"/>
      <c r="FP140" s="775">
        <f t="shared" ref="FP140:FP144" si="523">FL140+FN140</f>
        <v>0</v>
      </c>
      <c r="FR140" s="775">
        <v>9962</v>
      </c>
      <c r="FT140" s="775"/>
      <c r="FV140" s="775">
        <f t="shared" ref="FV140:FV144" si="524">FR140+FT140</f>
        <v>9962</v>
      </c>
      <c r="FX140" s="775"/>
      <c r="FZ140" s="775"/>
      <c r="GB140" s="775">
        <f t="shared" ref="GB140:GB144" si="525">FX140+FZ140</f>
        <v>0</v>
      </c>
      <c r="GD140" s="775">
        <v>92472729</v>
      </c>
      <c r="GF140" s="775"/>
      <c r="GH140" s="775">
        <v>92472729</v>
      </c>
      <c r="GK140" s="761">
        <f t="shared" ref="GK140:GK145" si="526">O140+U140+AA140+AG140+AO140+AU140+BA140+BG140+BM140+BU140+CH140+CN140+CT140+CZ140+DF140+DL140+DR140+DZ140+EH140+EN140+ET140+EZ140+FJ140+FP140+FV140+GB140</f>
        <v>129897458</v>
      </c>
      <c r="GL140" s="973">
        <f t="shared" si="304"/>
        <v>129897.458</v>
      </c>
      <c r="GM140" s="761">
        <f t="shared" ref="GM140:GM145" si="527">O140+U140+AA140+AG140+AO140+BA140+BG140+BM140+BU140+CH140+CN140+CT140+DF140+DZ140+EH140+EN140+ET140+EZ140+FJ140+FP140+FV140</f>
        <v>129897458</v>
      </c>
      <c r="GN140" s="973"/>
    </row>
    <row r="141" spans="1:196">
      <c r="A141" s="758" t="s">
        <v>242</v>
      </c>
      <c r="J141" s="758">
        <v>110</v>
      </c>
      <c r="K141" s="775"/>
      <c r="M141" s="775"/>
      <c r="O141" s="775">
        <f t="shared" si="500"/>
        <v>0</v>
      </c>
      <c r="Q141" s="775"/>
      <c r="S141" s="775"/>
      <c r="U141" s="775">
        <f t="shared" si="501"/>
        <v>0</v>
      </c>
      <c r="W141" s="775"/>
      <c r="Y141" s="775"/>
      <c r="AA141" s="775">
        <f t="shared" si="502"/>
        <v>0</v>
      </c>
      <c r="AC141" s="775"/>
      <c r="AE141" s="775"/>
      <c r="AG141" s="775">
        <f t="shared" si="503"/>
        <v>0</v>
      </c>
      <c r="AI141" s="775"/>
      <c r="AK141" s="970">
        <v>0</v>
      </c>
      <c r="AM141" s="775"/>
      <c r="AO141" s="775">
        <f t="shared" si="504"/>
        <v>0</v>
      </c>
      <c r="AQ141" s="775"/>
      <c r="AS141" s="775"/>
      <c r="AU141" s="775">
        <f t="shared" si="505"/>
        <v>0</v>
      </c>
      <c r="AW141" s="775">
        <v>308841</v>
      </c>
      <c r="AY141" s="775"/>
      <c r="BA141" s="775">
        <f t="shared" si="506"/>
        <v>308841</v>
      </c>
      <c r="BC141" s="775"/>
      <c r="BE141" s="775"/>
      <c r="BG141" s="775">
        <f t="shared" si="507"/>
        <v>0</v>
      </c>
      <c r="BI141" s="775"/>
      <c r="BK141" s="775"/>
      <c r="BM141" s="775">
        <f t="shared" si="508"/>
        <v>0</v>
      </c>
      <c r="BO141" s="775"/>
      <c r="BQ141" s="970"/>
      <c r="BS141" s="775"/>
      <c r="BU141" s="775">
        <f t="shared" si="509"/>
        <v>0</v>
      </c>
      <c r="BW141" s="776"/>
      <c r="BZ141" s="970"/>
      <c r="CB141" s="775"/>
      <c r="CD141" s="970"/>
      <c r="CF141" s="775"/>
      <c r="CH141" s="775">
        <f t="shared" si="510"/>
        <v>0</v>
      </c>
      <c r="CJ141" s="775"/>
      <c r="CL141" s="775"/>
      <c r="CN141" s="775">
        <f t="shared" si="511"/>
        <v>0</v>
      </c>
      <c r="CP141" s="775"/>
      <c r="CR141" s="775"/>
      <c r="CT141" s="775">
        <f t="shared" si="512"/>
        <v>0</v>
      </c>
      <c r="CV141" s="775"/>
      <c r="CX141" s="775"/>
      <c r="CZ141" s="775">
        <f t="shared" si="513"/>
        <v>0</v>
      </c>
      <c r="DB141" s="775">
        <v>8823000</v>
      </c>
      <c r="DD141" s="775"/>
      <c r="DF141" s="775">
        <f t="shared" si="514"/>
        <v>8823000</v>
      </c>
      <c r="DH141" s="775"/>
      <c r="DJ141" s="775"/>
      <c r="DL141" s="775">
        <f t="shared" si="515"/>
        <v>0</v>
      </c>
      <c r="DN141" s="775"/>
      <c r="DP141" s="775"/>
      <c r="DR141" s="775">
        <f t="shared" si="516"/>
        <v>0</v>
      </c>
      <c r="DT141" s="775"/>
      <c r="DV141" s="971">
        <v>0</v>
      </c>
      <c r="DX141" s="775"/>
      <c r="DZ141" s="775">
        <f t="shared" si="517"/>
        <v>0</v>
      </c>
      <c r="EB141" s="775"/>
      <c r="ED141" s="972">
        <v>0</v>
      </c>
      <c r="EF141" s="775"/>
      <c r="EH141" s="775">
        <f t="shared" si="518"/>
        <v>0</v>
      </c>
      <c r="EJ141" s="776">
        <v>8242430</v>
      </c>
      <c r="EL141" s="775"/>
      <c r="EN141" s="775">
        <f t="shared" si="519"/>
        <v>8242430</v>
      </c>
      <c r="EP141" s="776">
        <v>30571911</v>
      </c>
      <c r="ER141" s="775"/>
      <c r="ET141" s="775">
        <f t="shared" si="520"/>
        <v>30571911</v>
      </c>
      <c r="EV141" s="775">
        <v>2019604</v>
      </c>
      <c r="EX141" s="775"/>
      <c r="EZ141" s="775">
        <f t="shared" si="521"/>
        <v>2019604</v>
      </c>
      <c r="FB141" s="775">
        <v>0</v>
      </c>
      <c r="FD141" s="775"/>
      <c r="FF141" s="775"/>
      <c r="FH141" s="775"/>
      <c r="FJ141" s="775">
        <f t="shared" si="522"/>
        <v>0</v>
      </c>
      <c r="FL141" s="775">
        <v>956797</v>
      </c>
      <c r="FN141" s="775"/>
      <c r="FP141" s="775">
        <f t="shared" si="523"/>
        <v>956797</v>
      </c>
      <c r="FR141" s="775">
        <v>26404781</v>
      </c>
      <c r="FT141" s="775"/>
      <c r="FV141" s="775">
        <f t="shared" si="524"/>
        <v>26404781</v>
      </c>
      <c r="FX141" s="775"/>
      <c r="FZ141" s="775"/>
      <c r="GB141" s="775">
        <f t="shared" si="525"/>
        <v>0</v>
      </c>
      <c r="GD141" s="775"/>
      <c r="GF141" s="775"/>
      <c r="GH141" s="775">
        <v>0</v>
      </c>
      <c r="GK141" s="761">
        <f t="shared" si="526"/>
        <v>77327364</v>
      </c>
      <c r="GL141" s="973">
        <f t="shared" si="304"/>
        <v>77327.364000000001</v>
      </c>
      <c r="GM141" s="761">
        <f t="shared" si="527"/>
        <v>77327364</v>
      </c>
      <c r="GN141" s="973"/>
    </row>
    <row r="142" spans="1:196">
      <c r="A142" s="758" t="s">
        <v>204</v>
      </c>
      <c r="I142" s="771"/>
      <c r="J142" s="770">
        <v>111</v>
      </c>
      <c r="K142" s="775"/>
      <c r="M142" s="775"/>
      <c r="O142" s="775">
        <f t="shared" si="500"/>
        <v>0</v>
      </c>
      <c r="Q142" s="775"/>
      <c r="S142" s="775"/>
      <c r="U142" s="775">
        <f t="shared" si="501"/>
        <v>0</v>
      </c>
      <c r="W142" s="775"/>
      <c r="Y142" s="775"/>
      <c r="AA142" s="775">
        <f t="shared" si="502"/>
        <v>0</v>
      </c>
      <c r="AC142" s="775"/>
      <c r="AE142" s="775"/>
      <c r="AG142" s="775">
        <f t="shared" si="503"/>
        <v>0</v>
      </c>
      <c r="AI142" s="775"/>
      <c r="AK142" s="970">
        <v>0</v>
      </c>
      <c r="AM142" s="775"/>
      <c r="AO142" s="775">
        <f t="shared" si="504"/>
        <v>0</v>
      </c>
      <c r="AQ142" s="775"/>
      <c r="AS142" s="775"/>
      <c r="AU142" s="775">
        <f t="shared" si="505"/>
        <v>0</v>
      </c>
      <c r="AW142" s="775"/>
      <c r="AY142" s="775"/>
      <c r="BA142" s="775">
        <f t="shared" si="506"/>
        <v>0</v>
      </c>
      <c r="BC142" s="775"/>
      <c r="BE142" s="775"/>
      <c r="BG142" s="775">
        <f t="shared" si="507"/>
        <v>0</v>
      </c>
      <c r="BI142" s="775"/>
      <c r="BK142" s="775"/>
      <c r="BM142" s="775">
        <f t="shared" si="508"/>
        <v>0</v>
      </c>
      <c r="BO142" s="775"/>
      <c r="BQ142" s="970"/>
      <c r="BS142" s="775"/>
      <c r="BU142" s="775">
        <f t="shared" si="509"/>
        <v>0</v>
      </c>
      <c r="BW142" s="775">
        <v>381247</v>
      </c>
      <c r="BZ142" s="970"/>
      <c r="CB142" s="775"/>
      <c r="CD142" s="970"/>
      <c r="CF142" s="775"/>
      <c r="CH142" s="775">
        <f t="shared" si="510"/>
        <v>381247</v>
      </c>
      <c r="CJ142" s="775"/>
      <c r="CL142" s="775"/>
      <c r="CN142" s="775">
        <f t="shared" si="511"/>
        <v>0</v>
      </c>
      <c r="CP142" s="775"/>
      <c r="CR142" s="775"/>
      <c r="CT142" s="775">
        <f t="shared" si="512"/>
        <v>0</v>
      </c>
      <c r="CV142" s="775"/>
      <c r="CX142" s="775"/>
      <c r="CZ142" s="775">
        <f t="shared" si="513"/>
        <v>0</v>
      </c>
      <c r="DB142" s="775"/>
      <c r="DD142" s="775"/>
      <c r="DF142" s="775">
        <f t="shared" si="514"/>
        <v>0</v>
      </c>
      <c r="DH142" s="775"/>
      <c r="DJ142" s="775"/>
      <c r="DL142" s="775">
        <f t="shared" si="515"/>
        <v>0</v>
      </c>
      <c r="DN142" s="775"/>
      <c r="DP142" s="775"/>
      <c r="DR142" s="775">
        <f t="shared" si="516"/>
        <v>0</v>
      </c>
      <c r="DT142" s="775">
        <v>8633</v>
      </c>
      <c r="DV142" s="971">
        <v>0</v>
      </c>
      <c r="DX142" s="775"/>
      <c r="DZ142" s="775">
        <f t="shared" si="517"/>
        <v>8633</v>
      </c>
      <c r="EB142" s="775"/>
      <c r="ED142" s="972">
        <v>0</v>
      </c>
      <c r="EF142" s="775"/>
      <c r="EH142" s="775">
        <f t="shared" si="518"/>
        <v>0</v>
      </c>
      <c r="EJ142" s="775"/>
      <c r="EL142" s="775"/>
      <c r="EN142" s="775">
        <f t="shared" si="519"/>
        <v>0</v>
      </c>
      <c r="EP142" s="776"/>
      <c r="ER142" s="775"/>
      <c r="ET142" s="775">
        <f t="shared" si="520"/>
        <v>0</v>
      </c>
      <c r="EV142" s="775"/>
      <c r="EX142" s="775"/>
      <c r="EZ142" s="775">
        <f t="shared" si="521"/>
        <v>0</v>
      </c>
      <c r="FB142" s="775">
        <v>0</v>
      </c>
      <c r="FD142" s="775"/>
      <c r="FF142" s="775"/>
      <c r="FH142" s="775"/>
      <c r="FJ142" s="775">
        <f t="shared" si="522"/>
        <v>0</v>
      </c>
      <c r="FL142" s="775"/>
      <c r="FN142" s="775"/>
      <c r="FP142" s="775">
        <f t="shared" si="523"/>
        <v>0</v>
      </c>
      <c r="FR142" s="775"/>
      <c r="FT142" s="775"/>
      <c r="FV142" s="775">
        <f t="shared" si="524"/>
        <v>0</v>
      </c>
      <c r="FX142" s="775"/>
      <c r="FZ142" s="775"/>
      <c r="GB142" s="775">
        <f t="shared" si="525"/>
        <v>0</v>
      </c>
      <c r="GD142" s="775"/>
      <c r="GF142" s="775"/>
      <c r="GH142" s="775">
        <v>0</v>
      </c>
      <c r="GK142" s="761">
        <f t="shared" si="526"/>
        <v>389880</v>
      </c>
      <c r="GL142" s="973">
        <f t="shared" si="304"/>
        <v>389.88</v>
      </c>
      <c r="GM142" s="761">
        <f t="shared" si="527"/>
        <v>389880</v>
      </c>
      <c r="GN142" s="973"/>
    </row>
    <row r="143" spans="1:196">
      <c r="A143" s="758" t="s">
        <v>76</v>
      </c>
      <c r="J143" s="758">
        <v>112</v>
      </c>
      <c r="K143" s="775"/>
      <c r="M143" s="775"/>
      <c r="O143" s="775">
        <f t="shared" si="500"/>
        <v>0</v>
      </c>
      <c r="Q143" s="775"/>
      <c r="S143" s="775"/>
      <c r="U143" s="775">
        <f t="shared" si="501"/>
        <v>0</v>
      </c>
      <c r="W143" s="775"/>
      <c r="Y143" s="775"/>
      <c r="AA143" s="775">
        <f t="shared" si="502"/>
        <v>0</v>
      </c>
      <c r="AC143" s="775"/>
      <c r="AE143" s="775"/>
      <c r="AG143" s="775">
        <f t="shared" si="503"/>
        <v>0</v>
      </c>
      <c r="AI143" s="775"/>
      <c r="AK143" s="970">
        <v>0</v>
      </c>
      <c r="AM143" s="775"/>
      <c r="AO143" s="775">
        <f t="shared" si="504"/>
        <v>0</v>
      </c>
      <c r="AQ143" s="775"/>
      <c r="AS143" s="775"/>
      <c r="AU143" s="775">
        <f t="shared" si="505"/>
        <v>0</v>
      </c>
      <c r="AW143" s="775"/>
      <c r="AY143" s="775"/>
      <c r="BA143" s="775">
        <f t="shared" si="506"/>
        <v>0</v>
      </c>
      <c r="BC143" s="775"/>
      <c r="BE143" s="775"/>
      <c r="BG143" s="775">
        <f t="shared" si="507"/>
        <v>0</v>
      </c>
      <c r="BI143" s="775"/>
      <c r="BK143" s="775"/>
      <c r="BM143" s="775">
        <f t="shared" si="508"/>
        <v>0</v>
      </c>
      <c r="BO143" s="775"/>
      <c r="BQ143" s="970"/>
      <c r="BS143" s="775"/>
      <c r="BU143" s="775">
        <f t="shared" si="509"/>
        <v>0</v>
      </c>
      <c r="BW143" s="775"/>
      <c r="BZ143" s="970"/>
      <c r="CB143" s="775"/>
      <c r="CD143" s="970"/>
      <c r="CF143" s="775"/>
      <c r="CH143" s="775">
        <f t="shared" si="510"/>
        <v>0</v>
      </c>
      <c r="CJ143" s="775"/>
      <c r="CL143" s="775"/>
      <c r="CN143" s="775">
        <f t="shared" si="511"/>
        <v>0</v>
      </c>
      <c r="CP143" s="775"/>
      <c r="CR143" s="775"/>
      <c r="CT143" s="775">
        <f t="shared" si="512"/>
        <v>0</v>
      </c>
      <c r="CV143" s="775"/>
      <c r="CX143" s="775"/>
      <c r="CZ143" s="775">
        <f t="shared" si="513"/>
        <v>0</v>
      </c>
      <c r="DB143" s="775"/>
      <c r="DD143" s="775"/>
      <c r="DF143" s="775">
        <f t="shared" si="514"/>
        <v>0</v>
      </c>
      <c r="DH143" s="775">
        <v>3500</v>
      </c>
      <c r="DJ143" s="775"/>
      <c r="DL143" s="775">
        <f t="shared" si="515"/>
        <v>3500</v>
      </c>
      <c r="DN143" s="775"/>
      <c r="DP143" s="775"/>
      <c r="DR143" s="775">
        <f t="shared" si="516"/>
        <v>0</v>
      </c>
      <c r="DT143" s="775"/>
      <c r="DV143" s="971">
        <v>0</v>
      </c>
      <c r="DX143" s="775"/>
      <c r="DZ143" s="775">
        <f t="shared" si="517"/>
        <v>0</v>
      </c>
      <c r="EB143" s="775"/>
      <c r="ED143" s="972">
        <v>0</v>
      </c>
      <c r="EF143" s="775"/>
      <c r="EH143" s="775">
        <f t="shared" si="518"/>
        <v>0</v>
      </c>
      <c r="EJ143" s="775"/>
      <c r="EL143" s="775"/>
      <c r="EN143" s="775">
        <f t="shared" si="519"/>
        <v>0</v>
      </c>
      <c r="EP143" s="776">
        <v>400000000</v>
      </c>
      <c r="ER143" s="775"/>
      <c r="ET143" s="775">
        <f t="shared" si="520"/>
        <v>400000000</v>
      </c>
      <c r="EV143" s="775"/>
      <c r="EX143" s="775"/>
      <c r="EZ143" s="775">
        <f t="shared" si="521"/>
        <v>0</v>
      </c>
      <c r="FB143" s="775">
        <v>0</v>
      </c>
      <c r="FD143" s="775"/>
      <c r="FF143" s="775"/>
      <c r="FH143" s="775"/>
      <c r="FJ143" s="775">
        <f t="shared" si="522"/>
        <v>0</v>
      </c>
      <c r="FL143" s="775"/>
      <c r="FN143" s="775"/>
      <c r="FP143" s="775">
        <f t="shared" si="523"/>
        <v>0</v>
      </c>
      <c r="FR143" s="775"/>
      <c r="FT143" s="775"/>
      <c r="FV143" s="775">
        <f t="shared" si="524"/>
        <v>0</v>
      </c>
      <c r="FX143" s="775">
        <v>1882031</v>
      </c>
      <c r="FZ143" s="775"/>
      <c r="GB143" s="775">
        <f t="shared" si="525"/>
        <v>1882031</v>
      </c>
      <c r="GD143" s="775"/>
      <c r="GF143" s="775"/>
      <c r="GH143" s="775">
        <v>0</v>
      </c>
      <c r="GK143" s="761">
        <f t="shared" si="526"/>
        <v>401885531</v>
      </c>
      <c r="GL143" s="973">
        <f t="shared" si="304"/>
        <v>401885.53100000002</v>
      </c>
      <c r="GM143" s="761">
        <f t="shared" si="527"/>
        <v>400000000</v>
      </c>
      <c r="GN143" s="973"/>
    </row>
    <row r="144" spans="1:196">
      <c r="A144" s="758" t="s">
        <v>243</v>
      </c>
      <c r="I144" s="771"/>
      <c r="J144" s="770">
        <v>113</v>
      </c>
      <c r="K144" s="775"/>
      <c r="M144" s="775"/>
      <c r="O144" s="775">
        <f t="shared" si="500"/>
        <v>0</v>
      </c>
      <c r="Q144" s="775"/>
      <c r="S144" s="775"/>
      <c r="U144" s="775">
        <f t="shared" si="501"/>
        <v>0</v>
      </c>
      <c r="W144" s="775">
        <v>2360719</v>
      </c>
      <c r="Y144" s="775"/>
      <c r="AA144" s="775">
        <f t="shared" si="502"/>
        <v>2360719</v>
      </c>
      <c r="AC144" s="775"/>
      <c r="AE144" s="775"/>
      <c r="AG144" s="775">
        <f t="shared" si="503"/>
        <v>0</v>
      </c>
      <c r="AI144" s="775"/>
      <c r="AK144" s="970">
        <v>0</v>
      </c>
      <c r="AM144" s="775"/>
      <c r="AO144" s="775">
        <f t="shared" si="504"/>
        <v>0</v>
      </c>
      <c r="AQ144" s="775"/>
      <c r="AS144" s="775"/>
      <c r="AU144" s="775">
        <f t="shared" si="505"/>
        <v>0</v>
      </c>
      <c r="AW144" s="775"/>
      <c r="AY144" s="775"/>
      <c r="BA144" s="775">
        <f t="shared" si="506"/>
        <v>0</v>
      </c>
      <c r="BC144" s="775"/>
      <c r="BE144" s="775"/>
      <c r="BG144" s="775">
        <f t="shared" si="507"/>
        <v>0</v>
      </c>
      <c r="BI144" s="775">
        <v>3336865</v>
      </c>
      <c r="BK144" s="775"/>
      <c r="BM144" s="775">
        <f t="shared" si="508"/>
        <v>3336865</v>
      </c>
      <c r="BO144" s="775"/>
      <c r="BQ144" s="970"/>
      <c r="BS144" s="775"/>
      <c r="BU144" s="775">
        <f t="shared" si="509"/>
        <v>0</v>
      </c>
      <c r="BW144" s="775"/>
      <c r="BZ144" s="970"/>
      <c r="CB144" s="775"/>
      <c r="CD144" s="970"/>
      <c r="CF144" s="775"/>
      <c r="CH144" s="775">
        <f t="shared" si="510"/>
        <v>0</v>
      </c>
      <c r="CJ144" s="775"/>
      <c r="CL144" s="775"/>
      <c r="CN144" s="775">
        <f t="shared" si="511"/>
        <v>0</v>
      </c>
      <c r="CP144" s="775"/>
      <c r="CR144" s="775"/>
      <c r="CT144" s="775">
        <f t="shared" si="512"/>
        <v>0</v>
      </c>
      <c r="CV144" s="775"/>
      <c r="CX144" s="775"/>
      <c r="CZ144" s="775">
        <f t="shared" si="513"/>
        <v>0</v>
      </c>
      <c r="DB144" s="775"/>
      <c r="DD144" s="775"/>
      <c r="DF144" s="775">
        <f t="shared" si="514"/>
        <v>0</v>
      </c>
      <c r="DH144" s="775"/>
      <c r="DJ144" s="775"/>
      <c r="DL144" s="775">
        <f t="shared" si="515"/>
        <v>0</v>
      </c>
      <c r="DN144" s="775"/>
      <c r="DP144" s="775"/>
      <c r="DR144" s="775">
        <f t="shared" si="516"/>
        <v>0</v>
      </c>
      <c r="DT144" s="775"/>
      <c r="DV144" s="971">
        <v>0</v>
      </c>
      <c r="DX144" s="775"/>
      <c r="DZ144" s="775">
        <f t="shared" si="517"/>
        <v>0</v>
      </c>
      <c r="EB144" s="775"/>
      <c r="ED144" s="972">
        <v>0</v>
      </c>
      <c r="EF144" s="775"/>
      <c r="EH144" s="775">
        <f t="shared" si="518"/>
        <v>0</v>
      </c>
      <c r="EJ144" s="775"/>
      <c r="EL144" s="775"/>
      <c r="EN144" s="775">
        <f t="shared" si="519"/>
        <v>0</v>
      </c>
      <c r="EP144" s="775"/>
      <c r="ER144" s="775"/>
      <c r="ET144" s="775">
        <f t="shared" si="520"/>
        <v>0</v>
      </c>
      <c r="EV144" s="775"/>
      <c r="EX144" s="775"/>
      <c r="EZ144" s="775">
        <f t="shared" si="521"/>
        <v>0</v>
      </c>
      <c r="FB144" s="775">
        <v>0</v>
      </c>
      <c r="FD144" s="775"/>
      <c r="FF144" s="775"/>
      <c r="FH144" s="775"/>
      <c r="FJ144" s="775">
        <f t="shared" si="522"/>
        <v>0</v>
      </c>
      <c r="FL144" s="775"/>
      <c r="FN144" s="775"/>
      <c r="FP144" s="775">
        <f t="shared" si="523"/>
        <v>0</v>
      </c>
      <c r="FR144" s="775"/>
      <c r="FT144" s="775"/>
      <c r="FV144" s="775">
        <f t="shared" si="524"/>
        <v>0</v>
      </c>
      <c r="FX144" s="775"/>
      <c r="FZ144" s="775"/>
      <c r="GB144" s="775">
        <f t="shared" si="525"/>
        <v>0</v>
      </c>
      <c r="GD144" s="775"/>
      <c r="GF144" s="775"/>
      <c r="GH144" s="775">
        <v>0</v>
      </c>
      <c r="GK144" s="761">
        <f t="shared" si="526"/>
        <v>5697584</v>
      </c>
      <c r="GL144" s="973">
        <f t="shared" si="304"/>
        <v>5697.5839999999998</v>
      </c>
      <c r="GM144" s="761">
        <f t="shared" si="527"/>
        <v>5697584</v>
      </c>
      <c r="GN144" s="973"/>
    </row>
    <row r="145" spans="1:196">
      <c r="A145" s="766"/>
      <c r="B145" s="766" t="s">
        <v>64</v>
      </c>
      <c r="J145" s="758">
        <v>114</v>
      </c>
      <c r="K145" s="777">
        <f>SUM(K140:K144)</f>
        <v>0</v>
      </c>
      <c r="M145" s="777">
        <f>SUM(M140:M144)</f>
        <v>0</v>
      </c>
      <c r="O145" s="777">
        <f>SUM(O140:O144)</f>
        <v>0</v>
      </c>
      <c r="Q145" s="777">
        <f>SUM(Q140:Q144)</f>
        <v>0</v>
      </c>
      <c r="S145" s="777">
        <f>SUM(S140:S144)</f>
        <v>0</v>
      </c>
      <c r="U145" s="777">
        <f>SUM(U140:U144)</f>
        <v>0</v>
      </c>
      <c r="W145" s="777">
        <f>SUM(W140:W144)</f>
        <v>2360719</v>
      </c>
      <c r="Y145" s="777">
        <f>SUM(Y140:Y144)</f>
        <v>0</v>
      </c>
      <c r="AA145" s="777">
        <f>SUM(AA140:AA144)</f>
        <v>2360719</v>
      </c>
      <c r="AC145" s="777">
        <f>SUM(AC140:AC144)</f>
        <v>0</v>
      </c>
      <c r="AE145" s="777">
        <f>SUM(AE140:AE144)</f>
        <v>0</v>
      </c>
      <c r="AG145" s="777">
        <f>SUM(AG140:AG144)</f>
        <v>0</v>
      </c>
      <c r="AI145" s="777">
        <f>SUM(AI140:AI144)</f>
        <v>0</v>
      </c>
      <c r="AK145" s="974">
        <f>SUM(AK140:AK144)</f>
        <v>0</v>
      </c>
      <c r="AM145" s="777">
        <f>SUM(AM140:AM144)</f>
        <v>0</v>
      </c>
      <c r="AO145" s="777">
        <f>SUM(AO140:AO144)</f>
        <v>0</v>
      </c>
      <c r="AQ145" s="777">
        <f>SUM(AQ140:AQ144)</f>
        <v>0</v>
      </c>
      <c r="AS145" s="777">
        <f>SUM(AS140:AS144)</f>
        <v>0</v>
      </c>
      <c r="AU145" s="777">
        <f>SUM(AU140:AU144)</f>
        <v>0</v>
      </c>
      <c r="AW145" s="777">
        <f>SUM(AW140:AW144)</f>
        <v>308841</v>
      </c>
      <c r="AY145" s="777">
        <f>SUM(AY140:AY144)</f>
        <v>0</v>
      </c>
      <c r="BA145" s="777">
        <f>SUM(BA140:BA144)</f>
        <v>308841</v>
      </c>
      <c r="BC145" s="777">
        <f>SUM(BC140:BC144)</f>
        <v>0</v>
      </c>
      <c r="BE145" s="777">
        <f>SUM(BE140:BE144)</f>
        <v>0</v>
      </c>
      <c r="BG145" s="777">
        <f>SUM(BG140:BG144)</f>
        <v>0</v>
      </c>
      <c r="BI145" s="777">
        <f>SUM(BI140:BI144)</f>
        <v>3336865</v>
      </c>
      <c r="BK145" s="777">
        <f>SUM(BK140:BK144)</f>
        <v>0</v>
      </c>
      <c r="BM145" s="777">
        <f>SUM(BM140:BM144)</f>
        <v>3336865</v>
      </c>
      <c r="BO145" s="777">
        <f>SUM(BO140:BO144)</f>
        <v>0</v>
      </c>
      <c r="BQ145" s="974">
        <f>SUM(BQ140:BQ144)</f>
        <v>0</v>
      </c>
      <c r="BS145" s="777">
        <f>SUM(BS140:BS144)</f>
        <v>0</v>
      </c>
      <c r="BU145" s="777">
        <f>SUM(BU140:BU144)</f>
        <v>0</v>
      </c>
      <c r="BW145" s="777">
        <f>SUM(BW140:BW144)</f>
        <v>381247</v>
      </c>
      <c r="BZ145" s="974">
        <f>SUM(BZ140:BZ144)</f>
        <v>0</v>
      </c>
      <c r="CB145" s="777">
        <f>SUM(CB140:CB144)</f>
        <v>0</v>
      </c>
      <c r="CD145" s="974">
        <f>SUM(CD140:CD144)</f>
        <v>0</v>
      </c>
      <c r="CF145" s="777">
        <f>SUM(CF140:CF144)</f>
        <v>0</v>
      </c>
      <c r="CH145" s="777">
        <f>SUM(CH140:CH144)</f>
        <v>381247</v>
      </c>
      <c r="CJ145" s="777">
        <f>SUM(CJ140:CJ144)</f>
        <v>0</v>
      </c>
      <c r="CL145" s="777">
        <f>SUM(CL140:CL144)</f>
        <v>0</v>
      </c>
      <c r="CN145" s="777">
        <f>SUM(CN140:CN144)</f>
        <v>0</v>
      </c>
      <c r="CP145" s="777">
        <f>SUM(CP140:CP144)</f>
        <v>0</v>
      </c>
      <c r="CR145" s="777">
        <f>SUM(CR140:CR144)</f>
        <v>0</v>
      </c>
      <c r="CT145" s="777">
        <f>SUM(CT140:CT144)</f>
        <v>0</v>
      </c>
      <c r="CV145" s="777">
        <f>SUM(CV140:CV144)</f>
        <v>0</v>
      </c>
      <c r="CX145" s="777">
        <f>SUM(CX140:CX144)</f>
        <v>0</v>
      </c>
      <c r="CZ145" s="777">
        <f>SUM(CZ140:CZ144)</f>
        <v>0</v>
      </c>
      <c r="DB145" s="777">
        <f>SUM(DB140:DB144)</f>
        <v>17315000</v>
      </c>
      <c r="DD145" s="777">
        <f>SUM(DD140:DD144)</f>
        <v>0</v>
      </c>
      <c r="DF145" s="777">
        <f>SUM(DF140:DF144)</f>
        <v>17315000</v>
      </c>
      <c r="DH145" s="777">
        <f>SUM(DH140:DH144)</f>
        <v>3500</v>
      </c>
      <c r="DJ145" s="777">
        <f>SUM(DJ140:DJ144)</f>
        <v>0</v>
      </c>
      <c r="DL145" s="777">
        <f>SUM(DL140:DL144)</f>
        <v>3500</v>
      </c>
      <c r="DN145" s="777">
        <f>SUM(DN140:DN144)</f>
        <v>0</v>
      </c>
      <c r="DP145" s="777">
        <f>SUM(DP140:DP144)</f>
        <v>0</v>
      </c>
      <c r="DR145" s="777">
        <f>SUM(DR140:DR144)</f>
        <v>0</v>
      </c>
      <c r="DT145" s="777">
        <f>SUM(DT140:DT144)</f>
        <v>8633</v>
      </c>
      <c r="DV145" s="975">
        <f>SUM(DV140:DV144)</f>
        <v>0</v>
      </c>
      <c r="DX145" s="777">
        <f>SUM(DX140:DX144)</f>
        <v>0</v>
      </c>
      <c r="DZ145" s="777">
        <f>SUM(DZ140:DZ144)</f>
        <v>8633</v>
      </c>
      <c r="EB145" s="777">
        <f>SUM(EB140:EB144)</f>
        <v>17206</v>
      </c>
      <c r="ED145" s="976">
        <f>SUM(ED140:ED144)</f>
        <v>0</v>
      </c>
      <c r="EF145" s="777">
        <f>SUM(EF140:EF144)</f>
        <v>0</v>
      </c>
      <c r="EH145" s="777">
        <f>SUM(EH140:EH144)</f>
        <v>17206</v>
      </c>
      <c r="EJ145" s="777">
        <f>SUM(EJ140:EJ144)</f>
        <v>29061986</v>
      </c>
      <c r="EL145" s="777">
        <f>SUM(EL140:EL144)</f>
        <v>0</v>
      </c>
      <c r="EN145" s="777">
        <f>SUM(EN140:EN144)</f>
        <v>29061986</v>
      </c>
      <c r="EP145" s="777">
        <f>SUM(EP140:EP144)</f>
        <v>465963580</v>
      </c>
      <c r="ER145" s="777">
        <f>SUM(ER140:ER144)</f>
        <v>0</v>
      </c>
      <c r="ET145" s="777">
        <f>SUM(ET140:ET144)</f>
        <v>465963580</v>
      </c>
      <c r="EV145" s="777">
        <f>SUM(EV140:EV144)</f>
        <v>10573431</v>
      </c>
      <c r="EX145" s="777">
        <f>SUM(EX140:EX144)</f>
        <v>0</v>
      </c>
      <c r="EZ145" s="777">
        <f>SUM(EZ140:EZ144)</f>
        <v>10573431</v>
      </c>
      <c r="FB145" s="777">
        <f>SUM(FB140:FB144)</f>
        <v>0</v>
      </c>
      <c r="FD145" s="777">
        <f>SUM(FD140:FD144)</f>
        <v>0</v>
      </c>
      <c r="FF145" s="777">
        <f>SUM(FF140:FF144)</f>
        <v>56613238</v>
      </c>
      <c r="FH145" s="777">
        <f>SUM(FH140:FH144)</f>
        <v>0</v>
      </c>
      <c r="FJ145" s="777">
        <f>SUM(FJ140:FJ144)</f>
        <v>56613238</v>
      </c>
      <c r="FL145" s="777">
        <f>SUM(FL140:FL144)</f>
        <v>956797</v>
      </c>
      <c r="FN145" s="777">
        <f>SUM(FN140:FN144)</f>
        <v>0</v>
      </c>
      <c r="FP145" s="777">
        <f>SUM(FP140:FP144)</f>
        <v>956797</v>
      </c>
      <c r="FR145" s="777">
        <f>SUM(FR140:FR144)</f>
        <v>26414743</v>
      </c>
      <c r="FT145" s="777">
        <f>SUM(FT140:FT144)</f>
        <v>0</v>
      </c>
      <c r="FV145" s="777">
        <f>SUM(FV140:FV144)</f>
        <v>26414743</v>
      </c>
      <c r="FX145" s="777">
        <f>SUM(FX140:FX144)</f>
        <v>1882031</v>
      </c>
      <c r="FZ145" s="777">
        <f>SUM(FZ140:FZ144)</f>
        <v>0</v>
      </c>
      <c r="GB145" s="777">
        <f>SUM(GB140:GB144)</f>
        <v>1882031</v>
      </c>
      <c r="GD145" s="777">
        <v>92472729</v>
      </c>
      <c r="GF145" s="777">
        <v>0</v>
      </c>
      <c r="GH145" s="777">
        <v>92472729</v>
      </c>
      <c r="GK145" s="761">
        <f t="shared" si="526"/>
        <v>615197817</v>
      </c>
      <c r="GL145" s="973">
        <f t="shared" si="304"/>
        <v>615197.81700000004</v>
      </c>
      <c r="GM145" s="761">
        <f t="shared" si="527"/>
        <v>613312286</v>
      </c>
      <c r="GN145" s="973"/>
    </row>
    <row r="146" spans="1:196">
      <c r="I146" s="771"/>
      <c r="J146" s="770">
        <v>115</v>
      </c>
      <c r="BQ146" s="952"/>
      <c r="BW146" s="761"/>
      <c r="BZ146" s="952"/>
      <c r="CB146" s="761"/>
      <c r="CD146" s="952"/>
      <c r="CP146" s="761"/>
      <c r="CV146" s="761"/>
      <c r="DB146" s="761"/>
      <c r="DH146" s="761"/>
      <c r="DN146" s="761"/>
      <c r="DT146" s="761"/>
      <c r="DV146" s="977"/>
      <c r="EB146" s="761"/>
      <c r="ED146" s="978"/>
      <c r="EJ146" s="761"/>
      <c r="EP146" s="761"/>
      <c r="EV146" s="761"/>
      <c r="FB146" s="761"/>
      <c r="FD146" s="761"/>
      <c r="GL146" s="973">
        <f t="shared" si="304"/>
        <v>0</v>
      </c>
      <c r="GN146" s="973"/>
    </row>
    <row r="147" spans="1:196">
      <c r="A147" s="766" t="s">
        <v>226</v>
      </c>
      <c r="J147" s="758">
        <v>116</v>
      </c>
      <c r="K147" s="775"/>
      <c r="M147" s="775"/>
      <c r="O147" s="775">
        <f t="shared" ref="O147" si="528">K147+M147</f>
        <v>0</v>
      </c>
      <c r="Q147" s="775"/>
      <c r="S147" s="775"/>
      <c r="U147" s="775">
        <f t="shared" ref="U147" si="529">Q147+S147</f>
        <v>0</v>
      </c>
      <c r="W147" s="775"/>
      <c r="Y147" s="775"/>
      <c r="AA147" s="775">
        <f t="shared" ref="AA147" si="530">W147+Y147</f>
        <v>0</v>
      </c>
      <c r="AC147" s="775"/>
      <c r="AE147" s="775"/>
      <c r="AG147" s="775">
        <f t="shared" ref="AG147" si="531">AC147+AE147</f>
        <v>0</v>
      </c>
      <c r="AI147" s="775"/>
      <c r="AK147" s="970">
        <v>0</v>
      </c>
      <c r="AM147" s="775"/>
      <c r="AO147" s="775">
        <f t="shared" ref="AO147" si="532">AI147+AM147</f>
        <v>0</v>
      </c>
      <c r="AQ147" s="775"/>
      <c r="AS147" s="775"/>
      <c r="AU147" s="775">
        <f t="shared" ref="AU147" si="533">AQ147+AS147</f>
        <v>0</v>
      </c>
      <c r="AW147" s="775"/>
      <c r="AY147" s="775"/>
      <c r="BA147" s="775">
        <f t="shared" ref="BA147" si="534">AW147+AY147</f>
        <v>0</v>
      </c>
      <c r="BC147" s="775"/>
      <c r="BE147" s="775"/>
      <c r="BG147" s="775">
        <f t="shared" ref="BG147" si="535">BC147+BE147</f>
        <v>0</v>
      </c>
      <c r="BI147" s="775"/>
      <c r="BK147" s="775"/>
      <c r="BM147" s="775">
        <f t="shared" ref="BM147" si="536">BI147+BK147</f>
        <v>0</v>
      </c>
      <c r="BO147" s="775"/>
      <c r="BQ147" s="970"/>
      <c r="BS147" s="775"/>
      <c r="BU147" s="775">
        <f t="shared" ref="BU147" si="537">BO147+BS147</f>
        <v>0</v>
      </c>
      <c r="BW147" s="775"/>
      <c r="BZ147" s="970"/>
      <c r="CB147" s="775"/>
      <c r="CD147" s="970"/>
      <c r="CF147" s="775"/>
      <c r="CH147" s="775">
        <f t="shared" ref="CH147" si="538">BW147+CF147</f>
        <v>0</v>
      </c>
      <c r="CJ147" s="775"/>
      <c r="CL147" s="775"/>
      <c r="CN147" s="775">
        <f t="shared" ref="CN147" si="539">CJ147+CL147</f>
        <v>0</v>
      </c>
      <c r="CP147" s="775"/>
      <c r="CR147" s="775"/>
      <c r="CT147" s="775">
        <f t="shared" ref="CT147" si="540">CP147+CR147</f>
        <v>0</v>
      </c>
      <c r="CV147" s="775"/>
      <c r="CX147" s="775"/>
      <c r="CZ147" s="775">
        <f t="shared" ref="CZ147" si="541">CV147+CX147</f>
        <v>0</v>
      </c>
      <c r="DB147" s="775"/>
      <c r="DD147" s="775"/>
      <c r="DF147" s="775">
        <f t="shared" ref="DF147" si="542">DB147+DD147</f>
        <v>0</v>
      </c>
      <c r="DH147" s="775"/>
      <c r="DJ147" s="775"/>
      <c r="DL147" s="775">
        <f t="shared" ref="DL147" si="543">DH147+DJ147</f>
        <v>0</v>
      </c>
      <c r="DN147" s="775"/>
      <c r="DP147" s="775"/>
      <c r="DR147" s="775">
        <f t="shared" ref="DR147" si="544">DN147+DP147</f>
        <v>0</v>
      </c>
      <c r="DT147" s="775"/>
      <c r="DV147" s="971">
        <v>0</v>
      </c>
      <c r="DX147" s="775"/>
      <c r="DZ147" s="775">
        <f t="shared" ref="DZ147" si="545">DT147+DX147</f>
        <v>0</v>
      </c>
      <c r="EB147" s="775"/>
      <c r="ED147" s="972">
        <v>0</v>
      </c>
      <c r="EF147" s="775"/>
      <c r="EH147" s="775">
        <f t="shared" ref="EH147" si="546">EB147+EF147</f>
        <v>0</v>
      </c>
      <c r="EJ147" s="775"/>
      <c r="EL147" s="775"/>
      <c r="EN147" s="775">
        <f t="shared" ref="EN147" si="547">EJ147+EL147</f>
        <v>0</v>
      </c>
      <c r="EP147" s="775"/>
      <c r="ER147" s="775"/>
      <c r="ET147" s="775">
        <f t="shared" ref="ET147" si="548">EP147+ER147</f>
        <v>0</v>
      </c>
      <c r="EV147" s="775"/>
      <c r="EX147" s="775"/>
      <c r="EZ147" s="775">
        <f t="shared" ref="EZ147" si="549">EV147+EX147</f>
        <v>0</v>
      </c>
      <c r="FB147" s="775">
        <v>0</v>
      </c>
      <c r="FD147" s="775"/>
      <c r="FF147" s="775"/>
      <c r="FH147" s="775"/>
      <c r="FJ147" s="775">
        <f t="shared" ref="FJ147" si="550">FF147+FH147</f>
        <v>0</v>
      </c>
      <c r="FL147" s="775"/>
      <c r="FN147" s="775"/>
      <c r="FP147" s="775">
        <f t="shared" ref="FP147" si="551">FL147+FN147</f>
        <v>0</v>
      </c>
      <c r="FR147" s="775"/>
      <c r="FT147" s="775"/>
      <c r="FV147" s="775">
        <f t="shared" ref="FV147" si="552">FR147+FT147</f>
        <v>0</v>
      </c>
      <c r="FX147" s="775"/>
      <c r="FZ147" s="775"/>
      <c r="GB147" s="775">
        <f t="shared" ref="GB147" si="553">FX147+FZ147</f>
        <v>0</v>
      </c>
      <c r="GD147" s="775"/>
      <c r="GF147" s="775"/>
      <c r="GH147" s="775">
        <v>0</v>
      </c>
      <c r="GK147" s="761">
        <f t="shared" ref="GK147" si="554">O147+U147+AA147+AG147+AO147+AU147+BA147+BG147+BM147+BU147+CH147+CN147+CT147+CZ147+DF147+DL147+DR147+DZ147+EH147+EN147+ET147+EZ147+FJ147+FP147+FV147+GB147</f>
        <v>0</v>
      </c>
      <c r="GL147" s="973">
        <f t="shared" si="304"/>
        <v>0</v>
      </c>
      <c r="GM147" s="761">
        <f>O147+U147+AA147+AG147+AO147+BA147+BG147+BM147+BU147+CH147+CN147+CT147+DF147+DZ147+EH147+EN147+ET147+EZ147+FJ147+FP147+FV147</f>
        <v>0</v>
      </c>
      <c r="GN147" s="973"/>
    </row>
    <row r="148" spans="1:196">
      <c r="I148" s="771"/>
      <c r="J148" s="770">
        <v>117</v>
      </c>
      <c r="BQ148" s="952"/>
      <c r="BW148" s="761"/>
      <c r="BZ148" s="952"/>
      <c r="CB148" s="761"/>
      <c r="CD148" s="952"/>
      <c r="CP148" s="761"/>
      <c r="CV148" s="761"/>
      <c r="DB148" s="761"/>
      <c r="DH148" s="761"/>
      <c r="DN148" s="761"/>
      <c r="DT148" s="761"/>
      <c r="DV148" s="977"/>
      <c r="EB148" s="761"/>
      <c r="ED148" s="978"/>
      <c r="EJ148" s="761"/>
      <c r="EP148" s="761"/>
      <c r="EV148" s="761"/>
      <c r="FB148" s="761"/>
      <c r="FD148" s="761"/>
      <c r="GL148" s="973">
        <f t="shared" si="304"/>
        <v>0</v>
      </c>
      <c r="GN148" s="973"/>
    </row>
    <row r="149" spans="1:196" hidden="1">
      <c r="J149" s="758">
        <v>118</v>
      </c>
      <c r="BQ149" s="952"/>
      <c r="BW149" s="761"/>
      <c r="BZ149" s="952"/>
      <c r="CB149" s="761"/>
      <c r="CD149" s="952"/>
      <c r="CP149" s="761"/>
      <c r="CV149" s="761"/>
      <c r="DB149" s="761"/>
      <c r="DH149" s="761"/>
      <c r="DN149" s="761"/>
      <c r="DT149" s="761"/>
      <c r="DV149" s="977"/>
      <c r="EB149" s="761"/>
      <c r="ED149" s="978"/>
      <c r="EJ149" s="761"/>
      <c r="EP149" s="761"/>
      <c r="EV149" s="761"/>
      <c r="FB149" s="761"/>
      <c r="FD149" s="761"/>
      <c r="GL149" s="973">
        <f t="shared" si="304"/>
        <v>0</v>
      </c>
      <c r="GN149" s="973"/>
    </row>
    <row r="150" spans="1:196">
      <c r="A150" s="782" t="s">
        <v>158</v>
      </c>
      <c r="I150" s="771"/>
      <c r="J150" s="770">
        <v>119</v>
      </c>
      <c r="K150" s="775"/>
      <c r="M150" s="775"/>
      <c r="O150" s="775">
        <f t="shared" ref="O150:O162" si="555">K150+M150</f>
        <v>0</v>
      </c>
      <c r="Q150" s="775"/>
      <c r="S150" s="775"/>
      <c r="U150" s="775">
        <f t="shared" ref="U150:U162" si="556">Q150+S150</f>
        <v>0</v>
      </c>
      <c r="W150" s="775"/>
      <c r="Y150" s="775"/>
      <c r="AA150" s="775">
        <f t="shared" ref="AA150:AA162" si="557">W150+Y150</f>
        <v>0</v>
      </c>
      <c r="AC150" s="775"/>
      <c r="AE150" s="775"/>
      <c r="AG150" s="775">
        <f t="shared" ref="AG150:AG162" si="558">AC150+AE150</f>
        <v>0</v>
      </c>
      <c r="AI150" s="775"/>
      <c r="AK150" s="970">
        <v>0</v>
      </c>
      <c r="AM150" s="775"/>
      <c r="AO150" s="775">
        <f t="shared" ref="AO150:AO162" si="559">AI150+AM150</f>
        <v>0</v>
      </c>
      <c r="AQ150" s="775"/>
      <c r="AS150" s="775"/>
      <c r="AU150" s="775">
        <f t="shared" ref="AU150:AU162" si="560">AQ150+AS150</f>
        <v>0</v>
      </c>
      <c r="AW150" s="775"/>
      <c r="AY150" s="775"/>
      <c r="BA150" s="775">
        <f t="shared" ref="BA150:BA162" si="561">AW150+AY150</f>
        <v>0</v>
      </c>
      <c r="BC150" s="775"/>
      <c r="BE150" s="775"/>
      <c r="BG150" s="775">
        <f t="shared" ref="BG150:BG162" si="562">BC150+BE150</f>
        <v>0</v>
      </c>
      <c r="BI150" s="775"/>
      <c r="BK150" s="775"/>
      <c r="BM150" s="775">
        <f t="shared" ref="BM150:BM162" si="563">BI150+BK150</f>
        <v>0</v>
      </c>
      <c r="BO150" s="775"/>
      <c r="BQ150" s="970"/>
      <c r="BS150" s="775"/>
      <c r="BU150" s="775">
        <f t="shared" ref="BU150:BU162" si="564">BO150+BS150</f>
        <v>0</v>
      </c>
      <c r="BW150" s="775"/>
      <c r="BZ150" s="970"/>
      <c r="CB150" s="775"/>
      <c r="CD150" s="970"/>
      <c r="CF150" s="775"/>
      <c r="CH150" s="775">
        <f t="shared" ref="CH150:CH162" si="565">BW150+CF150</f>
        <v>0</v>
      </c>
      <c r="CJ150" s="775"/>
      <c r="CL150" s="775"/>
      <c r="CN150" s="775">
        <f t="shared" ref="CN150:CN162" si="566">CJ150+CL150</f>
        <v>0</v>
      </c>
      <c r="CP150" s="775"/>
      <c r="CR150" s="775"/>
      <c r="CT150" s="775">
        <f t="shared" ref="CT150:CT162" si="567">CP150+CR150</f>
        <v>0</v>
      </c>
      <c r="CV150" s="775"/>
      <c r="CX150" s="775"/>
      <c r="CZ150" s="775">
        <f t="shared" ref="CZ150:CZ162" si="568">CV150+CX150</f>
        <v>0</v>
      </c>
      <c r="DB150" s="775">
        <v>95561000</v>
      </c>
      <c r="DD150" s="775">
        <v>-2363000</v>
      </c>
      <c r="DF150" s="775">
        <f t="shared" ref="DF150:DF162" si="569">DB150+DD150</f>
        <v>93198000</v>
      </c>
      <c r="DH150" s="775"/>
      <c r="DJ150" s="775"/>
      <c r="DL150" s="775">
        <f t="shared" ref="DL150:DL162" si="570">DH150+DJ150</f>
        <v>0</v>
      </c>
      <c r="DN150" s="775"/>
      <c r="DP150" s="775"/>
      <c r="DR150" s="775">
        <f t="shared" ref="DR150:DR162" si="571">DN150+DP150</f>
        <v>0</v>
      </c>
      <c r="DT150" s="775"/>
      <c r="DV150" s="971">
        <v>0</v>
      </c>
      <c r="DX150" s="775"/>
      <c r="DZ150" s="775">
        <f t="shared" ref="DZ150:DZ162" si="572">DT150+DX150</f>
        <v>0</v>
      </c>
      <c r="EB150" s="775"/>
      <c r="ED150" s="972"/>
      <c r="EF150" s="775"/>
      <c r="EH150" s="775">
        <f t="shared" ref="EH150:EH162" si="573">EB150+EF150</f>
        <v>0</v>
      </c>
      <c r="EJ150" s="775">
        <v>226501782</v>
      </c>
      <c r="EL150" s="775">
        <v>-26421782</v>
      </c>
      <c r="EN150" s="775">
        <f t="shared" ref="EN150:EN162" si="574">EJ150+EL150</f>
        <v>200080000</v>
      </c>
      <c r="EP150" s="775">
        <v>127991788</v>
      </c>
      <c r="ER150" s="775"/>
      <c r="ET150" s="775">
        <f t="shared" ref="ET150:ET162" si="575">EP150+ER150</f>
        <v>127991788</v>
      </c>
      <c r="EV150" s="776">
        <v>21781208</v>
      </c>
      <c r="EX150" s="775">
        <v>-3796208</v>
      </c>
      <c r="EZ150" s="775">
        <f t="shared" ref="EZ150:EZ162" si="576">EV150+EX150</f>
        <v>17985000</v>
      </c>
      <c r="FB150" s="775"/>
      <c r="FD150" s="775"/>
      <c r="FF150" s="775">
        <v>274585000</v>
      </c>
      <c r="FH150" s="775"/>
      <c r="FJ150" s="775">
        <f t="shared" ref="FJ150:FJ162" si="577">FF150+FH150</f>
        <v>274585000</v>
      </c>
      <c r="FL150" s="775"/>
      <c r="FN150" s="775"/>
      <c r="FP150" s="775">
        <f t="shared" ref="FP150:FP162" si="578">FL150+FN150</f>
        <v>0</v>
      </c>
      <c r="FR150" s="775"/>
      <c r="FT150" s="775"/>
      <c r="FV150" s="775">
        <f t="shared" ref="FV150:FV162" si="579">FR150+FT150</f>
        <v>0</v>
      </c>
      <c r="FX150" s="775"/>
      <c r="FZ150" s="775"/>
      <c r="GB150" s="775">
        <f t="shared" ref="GB150:GB162" si="580">FX150+FZ150</f>
        <v>0</v>
      </c>
      <c r="GD150" s="775">
        <v>509150000</v>
      </c>
      <c r="GF150" s="775"/>
      <c r="GH150" s="775">
        <v>509150000</v>
      </c>
      <c r="GK150" s="761">
        <f t="shared" ref="GK150:GK163" si="581">O150+U150+AA150+AG150+AO150+AU150+BA150+BG150+BM150+BU150+CH150+CN150+CT150+CZ150+DF150+DL150+DR150+DZ150+EH150+EN150+ET150+EZ150+FJ150+FP150+FV150+GB150</f>
        <v>713839788</v>
      </c>
      <c r="GL150" s="973">
        <f t="shared" si="304"/>
        <v>713839.78799999994</v>
      </c>
      <c r="GM150" s="761">
        <f t="shared" ref="GM150:GM163" si="582">O150+U150+AA150+AG150+AO150+BA150+BG150+BM150+BU150+CH150+CN150+CT150+DF150+DZ150+EH150+EN150+ET150+EZ150+FJ150+FP150+FV150</f>
        <v>713839788</v>
      </c>
      <c r="GN150" s="973"/>
    </row>
    <row r="151" spans="1:196">
      <c r="A151" s="783" t="s">
        <v>157</v>
      </c>
      <c r="J151" s="758">
        <v>120</v>
      </c>
      <c r="K151" s="775"/>
      <c r="M151" s="775"/>
      <c r="O151" s="775">
        <f t="shared" si="555"/>
        <v>0</v>
      </c>
      <c r="Q151" s="775"/>
      <c r="S151" s="775"/>
      <c r="U151" s="775">
        <f t="shared" si="556"/>
        <v>0</v>
      </c>
      <c r="W151" s="775"/>
      <c r="Y151" s="775"/>
      <c r="AA151" s="775">
        <f t="shared" si="557"/>
        <v>0</v>
      </c>
      <c r="AC151" s="775"/>
      <c r="AE151" s="775"/>
      <c r="AG151" s="775">
        <f t="shared" si="558"/>
        <v>0</v>
      </c>
      <c r="AI151" s="775"/>
      <c r="AK151" s="970">
        <v>0</v>
      </c>
      <c r="AM151" s="775"/>
      <c r="AO151" s="775">
        <f t="shared" si="559"/>
        <v>0</v>
      </c>
      <c r="AQ151" s="775"/>
      <c r="AS151" s="775"/>
      <c r="AU151" s="775">
        <f t="shared" si="560"/>
        <v>0</v>
      </c>
      <c r="AW151" s="775"/>
      <c r="AY151" s="775"/>
      <c r="BA151" s="775">
        <f t="shared" si="561"/>
        <v>0</v>
      </c>
      <c r="BC151" s="775"/>
      <c r="BE151" s="775"/>
      <c r="BG151" s="775">
        <f t="shared" si="562"/>
        <v>0</v>
      </c>
      <c r="BI151" s="775"/>
      <c r="BK151" s="775"/>
      <c r="BM151" s="775">
        <f t="shared" si="563"/>
        <v>0</v>
      </c>
      <c r="BO151" s="775"/>
      <c r="BQ151" s="970"/>
      <c r="BS151" s="775"/>
      <c r="BU151" s="775">
        <f t="shared" si="564"/>
        <v>0</v>
      </c>
      <c r="BW151" s="775"/>
      <c r="BZ151" s="970"/>
      <c r="CB151" s="775"/>
      <c r="CD151" s="970"/>
      <c r="CF151" s="775"/>
      <c r="CH151" s="775">
        <f t="shared" si="565"/>
        <v>0</v>
      </c>
      <c r="CJ151" s="775"/>
      <c r="CL151" s="775"/>
      <c r="CN151" s="775">
        <f t="shared" si="566"/>
        <v>0</v>
      </c>
      <c r="CP151" s="775"/>
      <c r="CR151" s="775"/>
      <c r="CT151" s="775">
        <f t="shared" si="567"/>
        <v>0</v>
      </c>
      <c r="CV151" s="775"/>
      <c r="CX151" s="775"/>
      <c r="CZ151" s="775">
        <f t="shared" si="568"/>
        <v>0</v>
      </c>
      <c r="DB151" s="775"/>
      <c r="DD151" s="775"/>
      <c r="DF151" s="775">
        <f t="shared" si="569"/>
        <v>0</v>
      </c>
      <c r="DH151" s="775"/>
      <c r="DJ151" s="775"/>
      <c r="DL151" s="775">
        <f t="shared" si="570"/>
        <v>0</v>
      </c>
      <c r="DN151" s="775"/>
      <c r="DP151" s="775"/>
      <c r="DR151" s="775">
        <f t="shared" si="571"/>
        <v>0</v>
      </c>
      <c r="DT151" s="775"/>
      <c r="DV151" s="971">
        <v>0</v>
      </c>
      <c r="DX151" s="775"/>
      <c r="DZ151" s="775">
        <f t="shared" si="572"/>
        <v>0</v>
      </c>
      <c r="EB151" s="775"/>
      <c r="ED151" s="972"/>
      <c r="EF151" s="775"/>
      <c r="EH151" s="775">
        <f t="shared" si="573"/>
        <v>0</v>
      </c>
      <c r="EJ151" s="775"/>
      <c r="EL151" s="775"/>
      <c r="EN151" s="775">
        <f t="shared" si="574"/>
        <v>0</v>
      </c>
      <c r="EP151" s="775"/>
      <c r="ER151" s="775"/>
      <c r="ET151" s="775">
        <f t="shared" si="575"/>
        <v>0</v>
      </c>
      <c r="EV151" s="776">
        <v>6803361</v>
      </c>
      <c r="EX151" s="775"/>
      <c r="EZ151" s="775">
        <f t="shared" si="576"/>
        <v>6803361</v>
      </c>
      <c r="FB151" s="775"/>
      <c r="FD151" s="775"/>
      <c r="FF151" s="775"/>
      <c r="FH151" s="775"/>
      <c r="FJ151" s="775">
        <f t="shared" si="577"/>
        <v>0</v>
      </c>
      <c r="FL151" s="775"/>
      <c r="FN151" s="775"/>
      <c r="FP151" s="775">
        <f t="shared" si="578"/>
        <v>0</v>
      </c>
      <c r="FR151" s="775"/>
      <c r="FT151" s="775"/>
      <c r="FV151" s="775">
        <f t="shared" si="579"/>
        <v>0</v>
      </c>
      <c r="FX151" s="775"/>
      <c r="FZ151" s="775"/>
      <c r="GB151" s="775">
        <f t="shared" si="580"/>
        <v>0</v>
      </c>
      <c r="GD151" s="775"/>
      <c r="GF151" s="775"/>
      <c r="GH151" s="775">
        <v>0</v>
      </c>
      <c r="GK151" s="761">
        <f t="shared" si="581"/>
        <v>6803361</v>
      </c>
      <c r="GL151" s="973">
        <f t="shared" si="304"/>
        <v>6803.3609999999999</v>
      </c>
      <c r="GM151" s="761">
        <f t="shared" si="582"/>
        <v>6803361</v>
      </c>
      <c r="GN151" s="973"/>
    </row>
    <row r="152" spans="1:196">
      <c r="A152" s="783" t="s">
        <v>1458</v>
      </c>
      <c r="I152" s="771"/>
      <c r="J152" s="770">
        <v>121</v>
      </c>
      <c r="K152" s="775"/>
      <c r="M152" s="775"/>
      <c r="O152" s="775">
        <f t="shared" si="555"/>
        <v>0</v>
      </c>
      <c r="Q152" s="775">
        <v>39437</v>
      </c>
      <c r="S152" s="775"/>
      <c r="U152" s="775">
        <f t="shared" si="556"/>
        <v>39437</v>
      </c>
      <c r="W152" s="775"/>
      <c r="Y152" s="775"/>
      <c r="AA152" s="775">
        <f t="shared" si="557"/>
        <v>0</v>
      </c>
      <c r="AC152" s="775"/>
      <c r="AE152" s="775"/>
      <c r="AG152" s="775">
        <f t="shared" si="558"/>
        <v>0</v>
      </c>
      <c r="AI152" s="775">
        <v>1920976</v>
      </c>
      <c r="AK152" s="970">
        <v>0</v>
      </c>
      <c r="AM152" s="775"/>
      <c r="AO152" s="775">
        <f t="shared" si="559"/>
        <v>1920976</v>
      </c>
      <c r="AQ152" s="775"/>
      <c r="AS152" s="775"/>
      <c r="AU152" s="775">
        <f t="shared" si="560"/>
        <v>0</v>
      </c>
      <c r="AW152" s="775"/>
      <c r="AY152" s="775"/>
      <c r="BA152" s="775">
        <f t="shared" si="561"/>
        <v>0</v>
      </c>
      <c r="BC152" s="775"/>
      <c r="BE152" s="775"/>
      <c r="BG152" s="775">
        <f t="shared" si="562"/>
        <v>0</v>
      </c>
      <c r="BI152" s="775"/>
      <c r="BK152" s="775"/>
      <c r="BM152" s="775">
        <f t="shared" si="563"/>
        <v>0</v>
      </c>
      <c r="BO152" s="775">
        <v>54453</v>
      </c>
      <c r="BQ152" s="970"/>
      <c r="BS152" s="775"/>
      <c r="BU152" s="775">
        <f t="shared" si="564"/>
        <v>54453</v>
      </c>
      <c r="BW152" s="775"/>
      <c r="BZ152" s="970"/>
      <c r="CB152" s="775"/>
      <c r="CD152" s="970"/>
      <c r="CF152" s="775"/>
      <c r="CH152" s="775">
        <f t="shared" si="565"/>
        <v>0</v>
      </c>
      <c r="CJ152" s="775"/>
      <c r="CL152" s="775"/>
      <c r="CN152" s="775">
        <f t="shared" si="566"/>
        <v>0</v>
      </c>
      <c r="CP152" s="775">
        <v>132629</v>
      </c>
      <c r="CR152" s="775"/>
      <c r="CT152" s="775">
        <f t="shared" si="567"/>
        <v>132629</v>
      </c>
      <c r="CV152" s="775"/>
      <c r="CX152" s="775"/>
      <c r="CZ152" s="775">
        <f t="shared" si="568"/>
        <v>0</v>
      </c>
      <c r="DB152" s="775"/>
      <c r="DD152" s="775"/>
      <c r="DF152" s="775">
        <f t="shared" si="569"/>
        <v>0</v>
      </c>
      <c r="DH152" s="775"/>
      <c r="DJ152" s="775"/>
      <c r="DL152" s="775">
        <f t="shared" si="570"/>
        <v>0</v>
      </c>
      <c r="DN152" s="775"/>
      <c r="DP152" s="775"/>
      <c r="DR152" s="775">
        <f t="shared" si="571"/>
        <v>0</v>
      </c>
      <c r="DT152" s="775"/>
      <c r="DV152" s="971">
        <v>0</v>
      </c>
      <c r="DX152" s="775"/>
      <c r="DZ152" s="775">
        <f t="shared" si="572"/>
        <v>0</v>
      </c>
      <c r="EB152" s="775">
        <v>389444</v>
      </c>
      <c r="ED152" s="972"/>
      <c r="EF152" s="775"/>
      <c r="EH152" s="775">
        <f t="shared" si="573"/>
        <v>389444</v>
      </c>
      <c r="EJ152" s="775">
        <v>174549</v>
      </c>
      <c r="EL152" s="775"/>
      <c r="EN152" s="775">
        <f t="shared" si="574"/>
        <v>174549</v>
      </c>
      <c r="EP152" s="775">
        <v>760802</v>
      </c>
      <c r="ER152" s="775"/>
      <c r="ET152" s="775">
        <f t="shared" si="575"/>
        <v>760802</v>
      </c>
      <c r="EV152" s="775">
        <v>24622306</v>
      </c>
      <c r="EX152" s="775"/>
      <c r="EZ152" s="775">
        <f t="shared" si="576"/>
        <v>24622306</v>
      </c>
      <c r="FB152" s="775"/>
      <c r="FD152" s="775"/>
      <c r="FF152" s="775"/>
      <c r="FH152" s="775"/>
      <c r="FJ152" s="775">
        <f t="shared" si="577"/>
        <v>0</v>
      </c>
      <c r="FL152" s="775">
        <v>152907</v>
      </c>
      <c r="FN152" s="775"/>
      <c r="FP152" s="775">
        <f t="shared" si="578"/>
        <v>152907</v>
      </c>
      <c r="FR152" s="775">
        <v>335977</v>
      </c>
      <c r="FT152" s="775"/>
      <c r="FV152" s="775">
        <f t="shared" si="579"/>
        <v>335977</v>
      </c>
      <c r="FX152" s="775"/>
      <c r="FZ152" s="775"/>
      <c r="GB152" s="775">
        <f t="shared" si="580"/>
        <v>0</v>
      </c>
      <c r="GD152" s="775"/>
      <c r="GF152" s="775"/>
      <c r="GH152" s="775">
        <v>0</v>
      </c>
      <c r="GK152" s="761">
        <f t="shared" si="581"/>
        <v>28583480</v>
      </c>
      <c r="GL152" s="973">
        <f t="shared" si="304"/>
        <v>28583.48</v>
      </c>
      <c r="GM152" s="761">
        <f t="shared" si="582"/>
        <v>28583480</v>
      </c>
      <c r="GN152" s="973"/>
    </row>
    <row r="153" spans="1:196">
      <c r="A153" s="782" t="s">
        <v>1459</v>
      </c>
      <c r="I153" s="758" t="s">
        <v>1726</v>
      </c>
      <c r="J153" s="758">
        <v>122</v>
      </c>
      <c r="K153" s="775"/>
      <c r="M153" s="775"/>
      <c r="O153" s="775">
        <f t="shared" si="555"/>
        <v>0</v>
      </c>
      <c r="Q153" s="775"/>
      <c r="S153" s="775"/>
      <c r="U153" s="775">
        <f t="shared" si="556"/>
        <v>0</v>
      </c>
      <c r="W153" s="775"/>
      <c r="Y153" s="775"/>
      <c r="AA153" s="775">
        <f t="shared" si="557"/>
        <v>0</v>
      </c>
      <c r="AC153" s="775"/>
      <c r="AE153" s="775"/>
      <c r="AG153" s="775">
        <f t="shared" si="558"/>
        <v>0</v>
      </c>
      <c r="AI153" s="775"/>
      <c r="AK153" s="970">
        <v>0</v>
      </c>
      <c r="AM153" s="775"/>
      <c r="AO153" s="775">
        <f t="shared" si="559"/>
        <v>0</v>
      </c>
      <c r="AQ153" s="775"/>
      <c r="AS153" s="775"/>
      <c r="AU153" s="775">
        <f t="shared" si="560"/>
        <v>0</v>
      </c>
      <c r="AW153" s="775"/>
      <c r="AY153" s="775"/>
      <c r="BA153" s="775">
        <f t="shared" si="561"/>
        <v>0</v>
      </c>
      <c r="BC153" s="775"/>
      <c r="BE153" s="775"/>
      <c r="BG153" s="775">
        <f t="shared" si="562"/>
        <v>0</v>
      </c>
      <c r="BI153" s="775"/>
      <c r="BK153" s="775"/>
      <c r="BM153" s="775">
        <f t="shared" si="563"/>
        <v>0</v>
      </c>
      <c r="BO153" s="775"/>
      <c r="BQ153" s="970"/>
      <c r="BS153" s="775"/>
      <c r="BU153" s="775">
        <f t="shared" si="564"/>
        <v>0</v>
      </c>
      <c r="BW153" s="775"/>
      <c r="BZ153" s="970"/>
      <c r="CB153" s="775"/>
      <c r="CD153" s="970"/>
      <c r="CF153" s="775"/>
      <c r="CH153" s="775">
        <f t="shared" si="565"/>
        <v>0</v>
      </c>
      <c r="CJ153" s="775"/>
      <c r="CL153" s="775"/>
      <c r="CN153" s="775">
        <f t="shared" si="566"/>
        <v>0</v>
      </c>
      <c r="CP153" s="775"/>
      <c r="CR153" s="775"/>
      <c r="CT153" s="775">
        <f t="shared" si="567"/>
        <v>0</v>
      </c>
      <c r="CV153" s="775"/>
      <c r="CX153" s="775"/>
      <c r="CZ153" s="775">
        <f t="shared" si="568"/>
        <v>0</v>
      </c>
      <c r="DB153" s="775"/>
      <c r="DD153" s="775"/>
      <c r="DF153" s="775">
        <f t="shared" si="569"/>
        <v>0</v>
      </c>
      <c r="DH153" s="775"/>
      <c r="DJ153" s="775"/>
      <c r="DL153" s="775">
        <f t="shared" si="570"/>
        <v>0</v>
      </c>
      <c r="DN153" s="775"/>
      <c r="DP153" s="775"/>
      <c r="DR153" s="775">
        <f t="shared" si="571"/>
        <v>0</v>
      </c>
      <c r="DT153" s="775"/>
      <c r="DV153" s="971">
        <v>0</v>
      </c>
      <c r="DX153" s="775"/>
      <c r="DZ153" s="775">
        <f t="shared" si="572"/>
        <v>0</v>
      </c>
      <c r="EB153" s="775"/>
      <c r="ED153" s="972"/>
      <c r="EF153" s="775"/>
      <c r="EH153" s="775">
        <f t="shared" si="573"/>
        <v>0</v>
      </c>
      <c r="EJ153" s="775"/>
      <c r="EL153" s="775"/>
      <c r="EN153" s="775">
        <f t="shared" si="574"/>
        <v>0</v>
      </c>
      <c r="EP153" s="776"/>
      <c r="ER153" s="775"/>
      <c r="ET153" s="775">
        <f t="shared" si="575"/>
        <v>0</v>
      </c>
      <c r="EV153" s="775"/>
      <c r="EX153" s="775"/>
      <c r="EZ153" s="775">
        <f t="shared" si="576"/>
        <v>0</v>
      </c>
      <c r="FB153" s="775"/>
      <c r="FD153" s="775"/>
      <c r="FF153" s="775"/>
      <c r="FH153" s="775"/>
      <c r="FJ153" s="775">
        <f t="shared" si="577"/>
        <v>0</v>
      </c>
      <c r="FL153" s="775"/>
      <c r="FN153" s="775"/>
      <c r="FP153" s="775">
        <f t="shared" si="578"/>
        <v>0</v>
      </c>
      <c r="FR153" s="775"/>
      <c r="FT153" s="775"/>
      <c r="FV153" s="775">
        <f t="shared" si="579"/>
        <v>0</v>
      </c>
      <c r="FX153" s="775"/>
      <c r="FZ153" s="775"/>
      <c r="GB153" s="775">
        <f t="shared" si="580"/>
        <v>0</v>
      </c>
      <c r="GD153" s="775"/>
      <c r="GF153" s="775"/>
      <c r="GH153" s="775">
        <v>0</v>
      </c>
      <c r="GK153" s="761">
        <f t="shared" si="581"/>
        <v>0</v>
      </c>
      <c r="GL153" s="973">
        <f t="shared" si="304"/>
        <v>0</v>
      </c>
      <c r="GM153" s="761">
        <f t="shared" si="582"/>
        <v>0</v>
      </c>
      <c r="GN153" s="973"/>
    </row>
    <row r="154" spans="1:196">
      <c r="A154" s="782" t="s">
        <v>1727</v>
      </c>
      <c r="I154" s="770" t="s">
        <v>1724</v>
      </c>
      <c r="J154" s="770">
        <v>123</v>
      </c>
      <c r="K154" s="775"/>
      <c r="M154" s="775"/>
      <c r="O154" s="775">
        <f t="shared" si="555"/>
        <v>0</v>
      </c>
      <c r="Q154" s="775"/>
      <c r="S154" s="775"/>
      <c r="U154" s="775">
        <f t="shared" si="556"/>
        <v>0</v>
      </c>
      <c r="W154" s="775"/>
      <c r="Y154" s="775"/>
      <c r="AA154" s="775">
        <f t="shared" si="557"/>
        <v>0</v>
      </c>
      <c r="AC154" s="775"/>
      <c r="AE154" s="775"/>
      <c r="AG154" s="775">
        <f t="shared" si="558"/>
        <v>0</v>
      </c>
      <c r="AI154" s="775"/>
      <c r="AK154" s="970">
        <v>0</v>
      </c>
      <c r="AM154" s="775"/>
      <c r="AO154" s="775">
        <f t="shared" si="559"/>
        <v>0</v>
      </c>
      <c r="AQ154" s="775"/>
      <c r="AS154" s="775"/>
      <c r="AU154" s="775">
        <f t="shared" si="560"/>
        <v>0</v>
      </c>
      <c r="AW154" s="775"/>
      <c r="AY154" s="775"/>
      <c r="BA154" s="775">
        <f t="shared" si="561"/>
        <v>0</v>
      </c>
      <c r="BC154" s="775"/>
      <c r="BE154" s="775"/>
      <c r="BG154" s="775">
        <f t="shared" si="562"/>
        <v>0</v>
      </c>
      <c r="BI154" s="775"/>
      <c r="BK154" s="775"/>
      <c r="BM154" s="775">
        <f t="shared" si="563"/>
        <v>0</v>
      </c>
      <c r="BO154" s="775"/>
      <c r="BQ154" s="970"/>
      <c r="BS154" s="775"/>
      <c r="BU154" s="775">
        <f t="shared" si="564"/>
        <v>0</v>
      </c>
      <c r="BW154" s="775"/>
      <c r="BZ154" s="970"/>
      <c r="CB154" s="775"/>
      <c r="CD154" s="970"/>
      <c r="CF154" s="775"/>
      <c r="CH154" s="775">
        <f t="shared" si="565"/>
        <v>0</v>
      </c>
      <c r="CJ154" s="775"/>
      <c r="CL154" s="775"/>
      <c r="CN154" s="775">
        <f t="shared" si="566"/>
        <v>0</v>
      </c>
      <c r="CP154" s="775"/>
      <c r="CR154" s="775"/>
      <c r="CT154" s="775">
        <f t="shared" si="567"/>
        <v>0</v>
      </c>
      <c r="CV154" s="775"/>
      <c r="CX154" s="775"/>
      <c r="CZ154" s="775">
        <f t="shared" si="568"/>
        <v>0</v>
      </c>
      <c r="DB154" s="775"/>
      <c r="DD154" s="775"/>
      <c r="DF154" s="775">
        <f t="shared" si="569"/>
        <v>0</v>
      </c>
      <c r="DH154" s="775"/>
      <c r="DJ154" s="775"/>
      <c r="DL154" s="775">
        <f t="shared" si="570"/>
        <v>0</v>
      </c>
      <c r="DN154" s="775"/>
      <c r="DP154" s="775"/>
      <c r="DR154" s="775">
        <f t="shared" si="571"/>
        <v>0</v>
      </c>
      <c r="DT154" s="775"/>
      <c r="DV154" s="971">
        <v>0</v>
      </c>
      <c r="DX154" s="775"/>
      <c r="DZ154" s="775">
        <f t="shared" si="572"/>
        <v>0</v>
      </c>
      <c r="EB154" s="775"/>
      <c r="ED154" s="972"/>
      <c r="EF154" s="775"/>
      <c r="EH154" s="775">
        <f t="shared" si="573"/>
        <v>0</v>
      </c>
      <c r="EJ154" s="775"/>
      <c r="EL154" s="775"/>
      <c r="EN154" s="775">
        <f t="shared" si="574"/>
        <v>0</v>
      </c>
      <c r="EP154" s="775"/>
      <c r="ER154" s="775"/>
      <c r="ET154" s="775">
        <f t="shared" si="575"/>
        <v>0</v>
      </c>
      <c r="EV154" s="775"/>
      <c r="EX154" s="775"/>
      <c r="EZ154" s="775">
        <f t="shared" si="576"/>
        <v>0</v>
      </c>
      <c r="FB154" s="775"/>
      <c r="FD154" s="775"/>
      <c r="FF154" s="775"/>
      <c r="FH154" s="775"/>
      <c r="FJ154" s="775">
        <f t="shared" si="577"/>
        <v>0</v>
      </c>
      <c r="FL154" s="775"/>
      <c r="FN154" s="775"/>
      <c r="FP154" s="775">
        <f t="shared" si="578"/>
        <v>0</v>
      </c>
      <c r="FR154" s="775"/>
      <c r="FT154" s="775"/>
      <c r="FV154" s="775">
        <f t="shared" si="579"/>
        <v>0</v>
      </c>
      <c r="FX154" s="775"/>
      <c r="FZ154" s="775"/>
      <c r="GB154" s="775">
        <f t="shared" si="580"/>
        <v>0</v>
      </c>
      <c r="GD154" s="775"/>
      <c r="GF154" s="775"/>
      <c r="GH154" s="775">
        <v>0</v>
      </c>
      <c r="GK154" s="761">
        <f t="shared" si="581"/>
        <v>0</v>
      </c>
      <c r="GL154" s="973">
        <f t="shared" si="304"/>
        <v>0</v>
      </c>
      <c r="GM154" s="761">
        <f t="shared" si="582"/>
        <v>0</v>
      </c>
      <c r="GN154" s="973"/>
    </row>
    <row r="155" spans="1:196">
      <c r="A155" s="782" t="s">
        <v>1460</v>
      </c>
      <c r="I155" s="758" t="s">
        <v>1461</v>
      </c>
      <c r="J155" s="758">
        <v>124</v>
      </c>
      <c r="K155" s="775"/>
      <c r="M155" s="775"/>
      <c r="O155" s="775">
        <f t="shared" si="555"/>
        <v>0</v>
      </c>
      <c r="Q155" s="775"/>
      <c r="S155" s="775"/>
      <c r="U155" s="775">
        <f t="shared" si="556"/>
        <v>0</v>
      </c>
      <c r="W155" s="775"/>
      <c r="Y155" s="775"/>
      <c r="AA155" s="775">
        <f t="shared" si="557"/>
        <v>0</v>
      </c>
      <c r="AC155" s="775"/>
      <c r="AE155" s="775"/>
      <c r="AG155" s="775">
        <f t="shared" si="558"/>
        <v>0</v>
      </c>
      <c r="AI155" s="775"/>
      <c r="AK155" s="970">
        <v>0</v>
      </c>
      <c r="AM155" s="775"/>
      <c r="AO155" s="775">
        <f t="shared" si="559"/>
        <v>0</v>
      </c>
      <c r="AQ155" s="775"/>
      <c r="AS155" s="775"/>
      <c r="AU155" s="775">
        <f t="shared" si="560"/>
        <v>0</v>
      </c>
      <c r="AW155" s="775"/>
      <c r="AY155" s="775"/>
      <c r="BA155" s="775">
        <f t="shared" si="561"/>
        <v>0</v>
      </c>
      <c r="BC155" s="775"/>
      <c r="BE155" s="775"/>
      <c r="BG155" s="775">
        <f t="shared" si="562"/>
        <v>0</v>
      </c>
      <c r="BI155" s="775"/>
      <c r="BK155" s="775"/>
      <c r="BM155" s="775">
        <f t="shared" si="563"/>
        <v>0</v>
      </c>
      <c r="BO155" s="775"/>
      <c r="BQ155" s="970"/>
      <c r="BS155" s="775"/>
      <c r="BU155" s="775">
        <f t="shared" si="564"/>
        <v>0</v>
      </c>
      <c r="BW155" s="775"/>
      <c r="BZ155" s="970"/>
      <c r="CB155" s="775"/>
      <c r="CD155" s="970"/>
      <c r="CF155" s="775"/>
      <c r="CH155" s="775">
        <f t="shared" si="565"/>
        <v>0</v>
      </c>
      <c r="CJ155" s="775"/>
      <c r="CL155" s="775"/>
      <c r="CN155" s="775">
        <f t="shared" si="566"/>
        <v>0</v>
      </c>
      <c r="CP155" s="775"/>
      <c r="CR155" s="775"/>
      <c r="CT155" s="775">
        <f t="shared" si="567"/>
        <v>0</v>
      </c>
      <c r="CV155" s="775"/>
      <c r="CX155" s="775"/>
      <c r="CZ155" s="775">
        <f t="shared" si="568"/>
        <v>0</v>
      </c>
      <c r="DB155" s="775"/>
      <c r="DD155" s="775"/>
      <c r="DF155" s="775">
        <f t="shared" si="569"/>
        <v>0</v>
      </c>
      <c r="DH155" s="775"/>
      <c r="DJ155" s="775"/>
      <c r="DL155" s="775">
        <f t="shared" si="570"/>
        <v>0</v>
      </c>
      <c r="DN155" s="775"/>
      <c r="DP155" s="775"/>
      <c r="DR155" s="775">
        <f t="shared" si="571"/>
        <v>0</v>
      </c>
      <c r="DT155" s="775"/>
      <c r="DV155" s="971">
        <v>0</v>
      </c>
      <c r="DX155" s="775"/>
      <c r="DZ155" s="775">
        <f t="shared" si="572"/>
        <v>0</v>
      </c>
      <c r="EB155" s="775">
        <v>36358</v>
      </c>
      <c r="ED155" s="972"/>
      <c r="EF155" s="775"/>
      <c r="EH155" s="775">
        <f t="shared" si="573"/>
        <v>36358</v>
      </c>
      <c r="EJ155" s="775"/>
      <c r="EL155" s="775"/>
      <c r="EN155" s="775">
        <f t="shared" si="574"/>
        <v>0</v>
      </c>
      <c r="EP155" s="776"/>
      <c r="ER155" s="775">
        <v>6273455</v>
      </c>
      <c r="ET155" s="775">
        <f t="shared" si="575"/>
        <v>6273455</v>
      </c>
      <c r="EV155" s="775">
        <v>1052808</v>
      </c>
      <c r="EX155" s="775"/>
      <c r="EZ155" s="775">
        <f t="shared" si="576"/>
        <v>1052808</v>
      </c>
      <c r="FB155" s="775"/>
      <c r="FD155" s="775"/>
      <c r="FF155" s="775"/>
      <c r="FH155" s="775"/>
      <c r="FJ155" s="775">
        <f t="shared" si="577"/>
        <v>0</v>
      </c>
      <c r="FL155" s="775"/>
      <c r="FN155" s="775"/>
      <c r="FP155" s="775">
        <f t="shared" si="578"/>
        <v>0</v>
      </c>
      <c r="FR155" s="775"/>
      <c r="FT155" s="775"/>
      <c r="FV155" s="775">
        <f t="shared" si="579"/>
        <v>0</v>
      </c>
      <c r="FX155" s="775"/>
      <c r="FZ155" s="775"/>
      <c r="GB155" s="775">
        <f t="shared" si="580"/>
        <v>0</v>
      </c>
      <c r="GD155" s="775"/>
      <c r="GF155" s="775"/>
      <c r="GH155" s="775">
        <v>0</v>
      </c>
      <c r="GK155" s="761">
        <f t="shared" si="581"/>
        <v>7362621</v>
      </c>
      <c r="GL155" s="973">
        <f t="shared" si="304"/>
        <v>7362.6210000000001</v>
      </c>
      <c r="GM155" s="761">
        <f t="shared" si="582"/>
        <v>7362621</v>
      </c>
      <c r="GN155" s="973"/>
    </row>
    <row r="156" spans="1:196">
      <c r="A156" s="782" t="s">
        <v>159</v>
      </c>
      <c r="J156" s="770">
        <v>125</v>
      </c>
      <c r="K156" s="775"/>
      <c r="M156" s="775"/>
      <c r="O156" s="775">
        <f t="shared" si="555"/>
        <v>0</v>
      </c>
      <c r="Q156" s="775"/>
      <c r="S156" s="775"/>
      <c r="U156" s="775">
        <f t="shared" si="556"/>
        <v>0</v>
      </c>
      <c r="W156" s="775"/>
      <c r="Y156" s="775"/>
      <c r="AA156" s="775">
        <f t="shared" si="557"/>
        <v>0</v>
      </c>
      <c r="AC156" s="775"/>
      <c r="AE156" s="775"/>
      <c r="AG156" s="775">
        <f t="shared" si="558"/>
        <v>0</v>
      </c>
      <c r="AI156" s="775"/>
      <c r="AK156" s="970">
        <v>0</v>
      </c>
      <c r="AM156" s="775"/>
      <c r="AO156" s="775">
        <f t="shared" si="559"/>
        <v>0</v>
      </c>
      <c r="AQ156" s="775"/>
      <c r="AS156" s="775"/>
      <c r="AU156" s="775">
        <f t="shared" si="560"/>
        <v>0</v>
      </c>
      <c r="AW156" s="775"/>
      <c r="AY156" s="775"/>
      <c r="BA156" s="775">
        <f t="shared" si="561"/>
        <v>0</v>
      </c>
      <c r="BC156" s="775"/>
      <c r="BE156" s="775"/>
      <c r="BG156" s="775">
        <f t="shared" si="562"/>
        <v>0</v>
      </c>
      <c r="BI156" s="775"/>
      <c r="BK156" s="775"/>
      <c r="BM156" s="775">
        <f t="shared" si="563"/>
        <v>0</v>
      </c>
      <c r="BO156" s="775"/>
      <c r="BQ156" s="970"/>
      <c r="BS156" s="775"/>
      <c r="BU156" s="775">
        <f t="shared" si="564"/>
        <v>0</v>
      </c>
      <c r="BW156" s="775"/>
      <c r="BZ156" s="970"/>
      <c r="CB156" s="775"/>
      <c r="CD156" s="970"/>
      <c r="CF156" s="775"/>
      <c r="CH156" s="775">
        <f t="shared" si="565"/>
        <v>0</v>
      </c>
      <c r="CJ156" s="775"/>
      <c r="CL156" s="775"/>
      <c r="CN156" s="775">
        <f t="shared" si="566"/>
        <v>0</v>
      </c>
      <c r="CP156" s="775"/>
      <c r="CR156" s="775"/>
      <c r="CT156" s="775">
        <f t="shared" si="567"/>
        <v>0</v>
      </c>
      <c r="CV156" s="775"/>
      <c r="CX156" s="775"/>
      <c r="CZ156" s="775">
        <f t="shared" si="568"/>
        <v>0</v>
      </c>
      <c r="DB156" s="775">
        <v>68580000</v>
      </c>
      <c r="DD156" s="775"/>
      <c r="DF156" s="775">
        <f t="shared" si="569"/>
        <v>68580000</v>
      </c>
      <c r="DH156" s="775"/>
      <c r="DJ156" s="775"/>
      <c r="DL156" s="775">
        <f t="shared" si="570"/>
        <v>0</v>
      </c>
      <c r="DN156" s="775"/>
      <c r="DP156" s="775"/>
      <c r="DR156" s="775">
        <f t="shared" si="571"/>
        <v>0</v>
      </c>
      <c r="DT156" s="775"/>
      <c r="DV156" s="971">
        <v>0</v>
      </c>
      <c r="DX156" s="775"/>
      <c r="DZ156" s="775">
        <f t="shared" si="572"/>
        <v>0</v>
      </c>
      <c r="EB156" s="775"/>
      <c r="ED156" s="972"/>
      <c r="EF156" s="775"/>
      <c r="EH156" s="775">
        <f t="shared" si="573"/>
        <v>0</v>
      </c>
      <c r="EJ156" s="775"/>
      <c r="EL156" s="775"/>
      <c r="EN156" s="775">
        <f t="shared" si="574"/>
        <v>0</v>
      </c>
      <c r="EP156" s="776"/>
      <c r="ER156" s="775"/>
      <c r="ET156" s="775">
        <f t="shared" si="575"/>
        <v>0</v>
      </c>
      <c r="EV156" s="775"/>
      <c r="EX156" s="775"/>
      <c r="EZ156" s="775">
        <f t="shared" si="576"/>
        <v>0</v>
      </c>
      <c r="FB156" s="775"/>
      <c r="FD156" s="775"/>
      <c r="FF156" s="775">
        <v>60985000</v>
      </c>
      <c r="FH156" s="775"/>
      <c r="FJ156" s="775">
        <f t="shared" si="577"/>
        <v>60985000</v>
      </c>
      <c r="FL156" s="775"/>
      <c r="FN156" s="775"/>
      <c r="FP156" s="775">
        <f t="shared" si="578"/>
        <v>0</v>
      </c>
      <c r="FR156" s="775"/>
      <c r="FT156" s="775"/>
      <c r="FV156" s="775">
        <f t="shared" si="579"/>
        <v>0</v>
      </c>
      <c r="FX156" s="775">
        <v>75841</v>
      </c>
      <c r="FZ156" s="775"/>
      <c r="GB156" s="775">
        <f t="shared" si="580"/>
        <v>75841</v>
      </c>
      <c r="GD156" s="775"/>
      <c r="GF156" s="775"/>
      <c r="GH156" s="775">
        <v>0</v>
      </c>
      <c r="GK156" s="761">
        <f t="shared" si="581"/>
        <v>129640841</v>
      </c>
      <c r="GL156" s="973">
        <f t="shared" si="304"/>
        <v>129640.841</v>
      </c>
      <c r="GM156" s="761">
        <f t="shared" si="582"/>
        <v>129565000</v>
      </c>
      <c r="GN156" s="973"/>
    </row>
    <row r="157" spans="1:196">
      <c r="A157" s="782" t="s">
        <v>160</v>
      </c>
      <c r="I157" s="771"/>
      <c r="J157" s="758">
        <v>126</v>
      </c>
      <c r="K157" s="775"/>
      <c r="M157" s="775"/>
      <c r="O157" s="775">
        <f t="shared" si="555"/>
        <v>0</v>
      </c>
      <c r="Q157" s="775">
        <v>160142</v>
      </c>
      <c r="S157" s="775"/>
      <c r="U157" s="775">
        <f t="shared" si="556"/>
        <v>160142</v>
      </c>
      <c r="W157" s="775">
        <v>19023</v>
      </c>
      <c r="Y157" s="775"/>
      <c r="AA157" s="775">
        <f t="shared" si="557"/>
        <v>19023</v>
      </c>
      <c r="AC157" s="775"/>
      <c r="AE157" s="775"/>
      <c r="AG157" s="775">
        <f t="shared" si="558"/>
        <v>0</v>
      </c>
      <c r="AI157" s="775">
        <v>1085085</v>
      </c>
      <c r="AK157" s="970">
        <v>0</v>
      </c>
      <c r="AM157" s="775"/>
      <c r="AO157" s="775">
        <f t="shared" si="559"/>
        <v>1085085</v>
      </c>
      <c r="AQ157" s="775"/>
      <c r="AS157" s="775"/>
      <c r="AU157" s="775">
        <f t="shared" si="560"/>
        <v>0</v>
      </c>
      <c r="AW157" s="775"/>
      <c r="AY157" s="775"/>
      <c r="BA157" s="775">
        <f t="shared" si="561"/>
        <v>0</v>
      </c>
      <c r="BC157" s="775">
        <v>421124</v>
      </c>
      <c r="BE157" s="775"/>
      <c r="BG157" s="775">
        <f t="shared" si="562"/>
        <v>421124</v>
      </c>
      <c r="BI157" s="775"/>
      <c r="BK157" s="775"/>
      <c r="BM157" s="775">
        <f t="shared" si="563"/>
        <v>0</v>
      </c>
      <c r="BO157" s="775">
        <v>7446</v>
      </c>
      <c r="BQ157" s="970"/>
      <c r="BS157" s="775"/>
      <c r="BU157" s="775">
        <f t="shared" si="564"/>
        <v>7446</v>
      </c>
      <c r="BW157" s="775">
        <v>105529</v>
      </c>
      <c r="BZ157" s="970"/>
      <c r="CB157" s="775"/>
      <c r="CD157" s="970"/>
      <c r="CF157" s="775"/>
      <c r="CH157" s="775">
        <f t="shared" si="565"/>
        <v>105529</v>
      </c>
      <c r="CJ157" s="775"/>
      <c r="CL157" s="775"/>
      <c r="CN157" s="775">
        <f t="shared" si="566"/>
        <v>0</v>
      </c>
      <c r="CP157" s="775">
        <v>1149</v>
      </c>
      <c r="CR157" s="775"/>
      <c r="CT157" s="775">
        <f t="shared" si="567"/>
        <v>1149</v>
      </c>
      <c r="CV157" s="775"/>
      <c r="CX157" s="775"/>
      <c r="CZ157" s="775">
        <f t="shared" si="568"/>
        <v>0</v>
      </c>
      <c r="DB157" s="775">
        <v>8611000</v>
      </c>
      <c r="DD157" s="775"/>
      <c r="DF157" s="775">
        <f t="shared" si="569"/>
        <v>8611000</v>
      </c>
      <c r="DH157" s="775"/>
      <c r="DJ157" s="775"/>
      <c r="DL157" s="775">
        <f t="shared" si="570"/>
        <v>0</v>
      </c>
      <c r="DN157" s="775"/>
      <c r="DP157" s="775"/>
      <c r="DR157" s="775">
        <f t="shared" si="571"/>
        <v>0</v>
      </c>
      <c r="DT157" s="775">
        <v>44238</v>
      </c>
      <c r="DV157" s="971">
        <v>0</v>
      </c>
      <c r="DX157" s="775"/>
      <c r="DZ157" s="775">
        <f t="shared" si="572"/>
        <v>44238</v>
      </c>
      <c r="EB157" s="775"/>
      <c r="ED157" s="972">
        <v>0</v>
      </c>
      <c r="EF157" s="775"/>
      <c r="EH157" s="775">
        <f t="shared" si="573"/>
        <v>0</v>
      </c>
      <c r="EJ157" s="775">
        <v>114761</v>
      </c>
      <c r="EL157" s="775"/>
      <c r="EN157" s="775">
        <f t="shared" si="574"/>
        <v>114761</v>
      </c>
      <c r="EP157" s="775"/>
      <c r="ER157" s="775"/>
      <c r="ET157" s="775">
        <f t="shared" si="575"/>
        <v>0</v>
      </c>
      <c r="EV157" s="775">
        <v>1135282</v>
      </c>
      <c r="EX157" s="775"/>
      <c r="EZ157" s="775">
        <f t="shared" si="576"/>
        <v>1135282</v>
      </c>
      <c r="FB157" s="775"/>
      <c r="FD157" s="775"/>
      <c r="FF157" s="775"/>
      <c r="FH157" s="775"/>
      <c r="FJ157" s="775">
        <f t="shared" si="577"/>
        <v>0</v>
      </c>
      <c r="FL157" s="775">
        <v>63634</v>
      </c>
      <c r="FN157" s="775"/>
      <c r="FP157" s="775">
        <f t="shared" si="578"/>
        <v>63634</v>
      </c>
      <c r="FR157" s="775"/>
      <c r="FT157" s="775"/>
      <c r="FV157" s="775">
        <f t="shared" si="579"/>
        <v>0</v>
      </c>
      <c r="FX157" s="775"/>
      <c r="FZ157" s="775"/>
      <c r="GB157" s="775">
        <f t="shared" si="580"/>
        <v>0</v>
      </c>
      <c r="GD157" s="775"/>
      <c r="GF157" s="775"/>
      <c r="GH157" s="775">
        <v>0</v>
      </c>
      <c r="GK157" s="761">
        <f t="shared" si="581"/>
        <v>11768413</v>
      </c>
      <c r="GL157" s="973">
        <f t="shared" si="304"/>
        <v>11768.413</v>
      </c>
      <c r="GM157" s="761">
        <f t="shared" si="582"/>
        <v>11768413</v>
      </c>
      <c r="GN157" s="973"/>
    </row>
    <row r="158" spans="1:196">
      <c r="A158" s="782" t="s">
        <v>1455</v>
      </c>
      <c r="J158" s="770">
        <v>127</v>
      </c>
      <c r="K158" s="775"/>
      <c r="M158" s="775"/>
      <c r="O158" s="775">
        <f t="shared" si="555"/>
        <v>0</v>
      </c>
      <c r="Q158" s="775">
        <v>200855</v>
      </c>
      <c r="S158" s="775"/>
      <c r="U158" s="775">
        <f t="shared" si="556"/>
        <v>200855</v>
      </c>
      <c r="W158" s="775"/>
      <c r="Y158" s="775"/>
      <c r="AA158" s="775">
        <f t="shared" si="557"/>
        <v>0</v>
      </c>
      <c r="AC158" s="775"/>
      <c r="AE158" s="775"/>
      <c r="AG158" s="775">
        <f t="shared" si="558"/>
        <v>0</v>
      </c>
      <c r="AI158" s="775"/>
      <c r="AK158" s="970">
        <v>0</v>
      </c>
      <c r="AM158" s="775"/>
      <c r="AO158" s="775">
        <f t="shared" si="559"/>
        <v>0</v>
      </c>
      <c r="AQ158" s="775"/>
      <c r="AS158" s="775"/>
      <c r="AU158" s="775">
        <f t="shared" si="560"/>
        <v>0</v>
      </c>
      <c r="AW158" s="775"/>
      <c r="AY158" s="775"/>
      <c r="BA158" s="775">
        <f t="shared" si="561"/>
        <v>0</v>
      </c>
      <c r="BC158" s="775"/>
      <c r="BE158" s="775"/>
      <c r="BG158" s="775">
        <f t="shared" si="562"/>
        <v>0</v>
      </c>
      <c r="BI158" s="775"/>
      <c r="BK158" s="775"/>
      <c r="BM158" s="775">
        <f t="shared" si="563"/>
        <v>0</v>
      </c>
      <c r="BO158" s="775"/>
      <c r="BQ158" s="970"/>
      <c r="BS158" s="775"/>
      <c r="BU158" s="775">
        <f t="shared" si="564"/>
        <v>0</v>
      </c>
      <c r="BW158" s="775"/>
      <c r="CB158" s="775"/>
      <c r="CD158" s="970"/>
      <c r="CF158" s="775"/>
      <c r="CH158" s="775">
        <f t="shared" si="565"/>
        <v>0</v>
      </c>
      <c r="CJ158" s="775"/>
      <c r="CL158" s="775"/>
      <c r="CN158" s="775">
        <f t="shared" si="566"/>
        <v>0</v>
      </c>
      <c r="CP158" s="775"/>
      <c r="CR158" s="775"/>
      <c r="CT158" s="775">
        <f t="shared" si="567"/>
        <v>0</v>
      </c>
      <c r="CV158" s="775"/>
      <c r="CX158" s="775"/>
      <c r="CZ158" s="775">
        <f t="shared" si="568"/>
        <v>0</v>
      </c>
      <c r="DB158" s="775"/>
      <c r="DD158" s="775"/>
      <c r="DF158" s="775">
        <f t="shared" si="569"/>
        <v>0</v>
      </c>
      <c r="DH158" s="775"/>
      <c r="DJ158" s="775"/>
      <c r="DL158" s="775">
        <f t="shared" si="570"/>
        <v>0</v>
      </c>
      <c r="DN158" s="775"/>
      <c r="DP158" s="775"/>
      <c r="DR158" s="775">
        <f t="shared" si="571"/>
        <v>0</v>
      </c>
      <c r="DT158" s="775"/>
      <c r="DV158" s="971">
        <v>0</v>
      </c>
      <c r="DX158" s="775"/>
      <c r="DZ158" s="775">
        <f t="shared" si="572"/>
        <v>0</v>
      </c>
      <c r="EB158" s="775"/>
      <c r="ED158" s="972">
        <v>0</v>
      </c>
      <c r="EF158" s="775"/>
      <c r="EH158" s="775">
        <f t="shared" si="573"/>
        <v>0</v>
      </c>
      <c r="EJ158" s="775"/>
      <c r="EL158" s="775"/>
      <c r="EN158" s="775">
        <f t="shared" si="574"/>
        <v>0</v>
      </c>
      <c r="EP158" s="775"/>
      <c r="ER158" s="775"/>
      <c r="ET158" s="775">
        <f t="shared" si="575"/>
        <v>0</v>
      </c>
      <c r="EV158" s="775"/>
      <c r="EX158" s="775"/>
      <c r="EZ158" s="775">
        <f t="shared" si="576"/>
        <v>0</v>
      </c>
      <c r="FB158" s="775"/>
      <c r="FD158" s="775"/>
      <c r="FF158" s="775"/>
      <c r="FH158" s="775"/>
      <c r="FJ158" s="775">
        <f t="shared" si="577"/>
        <v>0</v>
      </c>
      <c r="FL158" s="775"/>
      <c r="FN158" s="775"/>
      <c r="FP158" s="775">
        <f t="shared" si="578"/>
        <v>0</v>
      </c>
      <c r="FR158" s="775"/>
      <c r="FT158" s="775"/>
      <c r="FV158" s="775">
        <f t="shared" si="579"/>
        <v>0</v>
      </c>
      <c r="FX158" s="775"/>
      <c r="FZ158" s="775"/>
      <c r="GB158" s="775">
        <f t="shared" si="580"/>
        <v>0</v>
      </c>
      <c r="GD158" s="775"/>
      <c r="GF158" s="775"/>
      <c r="GH158" s="775">
        <v>0</v>
      </c>
      <c r="GK158" s="761">
        <f t="shared" si="581"/>
        <v>200855</v>
      </c>
      <c r="GL158" s="973">
        <f t="shared" si="304"/>
        <v>200.85499999999999</v>
      </c>
      <c r="GM158" s="761">
        <f t="shared" si="582"/>
        <v>200855</v>
      </c>
      <c r="GN158" s="973"/>
    </row>
    <row r="159" spans="1:196">
      <c r="A159" s="782" t="s">
        <v>1326</v>
      </c>
      <c r="J159" s="758">
        <v>128</v>
      </c>
      <c r="K159" s="775"/>
      <c r="M159" s="775"/>
      <c r="O159" s="775">
        <f t="shared" si="555"/>
        <v>0</v>
      </c>
      <c r="Q159" s="775"/>
      <c r="S159" s="775"/>
      <c r="U159" s="775">
        <f t="shared" si="556"/>
        <v>0</v>
      </c>
      <c r="W159" s="775"/>
      <c r="Y159" s="775"/>
      <c r="AA159" s="775">
        <f t="shared" si="557"/>
        <v>0</v>
      </c>
      <c r="AC159" s="775"/>
      <c r="AE159" s="775"/>
      <c r="AG159" s="775">
        <f t="shared" si="558"/>
        <v>0</v>
      </c>
      <c r="AI159" s="775">
        <v>64685</v>
      </c>
      <c r="AK159" s="970">
        <v>0</v>
      </c>
      <c r="AM159" s="775"/>
      <c r="AO159" s="775">
        <f t="shared" si="559"/>
        <v>64685</v>
      </c>
      <c r="AQ159" s="775"/>
      <c r="AS159" s="775"/>
      <c r="AU159" s="775">
        <f t="shared" si="560"/>
        <v>0</v>
      </c>
      <c r="AW159" s="775"/>
      <c r="AY159" s="775"/>
      <c r="BA159" s="775">
        <f t="shared" si="561"/>
        <v>0</v>
      </c>
      <c r="BC159" s="775">
        <v>34382</v>
      </c>
      <c r="BE159" s="775"/>
      <c r="BG159" s="775">
        <f t="shared" si="562"/>
        <v>34382</v>
      </c>
      <c r="BI159" s="775"/>
      <c r="BK159" s="775"/>
      <c r="BM159" s="775">
        <f t="shared" si="563"/>
        <v>0</v>
      </c>
      <c r="BO159" s="775"/>
      <c r="BQ159" s="970"/>
      <c r="BS159" s="775"/>
      <c r="BU159" s="775">
        <f t="shared" si="564"/>
        <v>0</v>
      </c>
      <c r="BW159" s="775"/>
      <c r="CB159" s="775"/>
      <c r="CD159" s="970"/>
      <c r="CF159" s="775">
        <v>8961</v>
      </c>
      <c r="CH159" s="775">
        <f t="shared" si="565"/>
        <v>8961</v>
      </c>
      <c r="CJ159" s="775"/>
      <c r="CL159" s="775"/>
      <c r="CN159" s="775">
        <f t="shared" si="566"/>
        <v>0</v>
      </c>
      <c r="CP159" s="775"/>
      <c r="CR159" s="775"/>
      <c r="CT159" s="775">
        <f t="shared" si="567"/>
        <v>0</v>
      </c>
      <c r="CV159" s="775"/>
      <c r="CX159" s="775"/>
      <c r="CZ159" s="775">
        <f t="shared" si="568"/>
        <v>0</v>
      </c>
      <c r="DB159" s="775"/>
      <c r="DD159" s="775"/>
      <c r="DF159" s="775">
        <f t="shared" si="569"/>
        <v>0</v>
      </c>
      <c r="DH159" s="775"/>
      <c r="DJ159" s="775"/>
      <c r="DL159" s="775">
        <f t="shared" si="570"/>
        <v>0</v>
      </c>
      <c r="DN159" s="775"/>
      <c r="DP159" s="775"/>
      <c r="DR159" s="775">
        <f t="shared" si="571"/>
        <v>0</v>
      </c>
      <c r="DT159" s="775"/>
      <c r="DV159" s="971">
        <v>0</v>
      </c>
      <c r="DX159" s="775"/>
      <c r="DZ159" s="775">
        <f t="shared" si="572"/>
        <v>0</v>
      </c>
      <c r="EB159" s="775"/>
      <c r="ED159" s="972">
        <v>0</v>
      </c>
      <c r="EF159" s="775"/>
      <c r="EH159" s="775">
        <f t="shared" si="573"/>
        <v>0</v>
      </c>
      <c r="EJ159" s="775"/>
      <c r="EL159" s="775"/>
      <c r="EN159" s="775">
        <f t="shared" si="574"/>
        <v>0</v>
      </c>
      <c r="EP159" s="775"/>
      <c r="ER159" s="775"/>
      <c r="ET159" s="775">
        <f t="shared" si="575"/>
        <v>0</v>
      </c>
      <c r="EV159" s="775"/>
      <c r="EX159" s="775"/>
      <c r="EZ159" s="775">
        <f t="shared" si="576"/>
        <v>0</v>
      </c>
      <c r="FB159" s="775"/>
      <c r="FD159" s="775"/>
      <c r="FF159" s="775"/>
      <c r="FH159" s="775"/>
      <c r="FJ159" s="775">
        <f t="shared" si="577"/>
        <v>0</v>
      </c>
      <c r="FL159" s="775"/>
      <c r="FN159" s="775"/>
      <c r="FP159" s="775">
        <f t="shared" si="578"/>
        <v>0</v>
      </c>
      <c r="FR159" s="775"/>
      <c r="FT159" s="775"/>
      <c r="FV159" s="775">
        <f t="shared" si="579"/>
        <v>0</v>
      </c>
      <c r="FX159" s="775"/>
      <c r="FZ159" s="775"/>
      <c r="GB159" s="775">
        <f t="shared" si="580"/>
        <v>0</v>
      </c>
      <c r="GD159" s="775"/>
      <c r="GF159" s="775"/>
      <c r="GH159" s="775">
        <v>0</v>
      </c>
      <c r="GK159" s="761">
        <f t="shared" si="581"/>
        <v>108028</v>
      </c>
      <c r="GL159" s="973">
        <f t="shared" si="304"/>
        <v>108.02800000000001</v>
      </c>
      <c r="GM159" s="761">
        <f t="shared" si="582"/>
        <v>108028</v>
      </c>
      <c r="GN159" s="973"/>
    </row>
    <row r="160" spans="1:196">
      <c r="A160" s="782" t="s">
        <v>509</v>
      </c>
      <c r="I160" s="771"/>
      <c r="J160" s="770">
        <v>129</v>
      </c>
      <c r="K160" s="775"/>
      <c r="M160" s="775"/>
      <c r="O160" s="775">
        <f t="shared" si="555"/>
        <v>0</v>
      </c>
      <c r="Q160" s="775"/>
      <c r="S160" s="775"/>
      <c r="U160" s="775">
        <f t="shared" si="556"/>
        <v>0</v>
      </c>
      <c r="W160" s="775"/>
      <c r="Y160" s="775"/>
      <c r="AA160" s="775">
        <f t="shared" si="557"/>
        <v>0</v>
      </c>
      <c r="AC160" s="775"/>
      <c r="AE160" s="775"/>
      <c r="AG160" s="775">
        <f t="shared" si="558"/>
        <v>0</v>
      </c>
      <c r="AI160" s="775"/>
      <c r="AK160" s="970">
        <v>0</v>
      </c>
      <c r="AM160" s="775"/>
      <c r="AO160" s="775">
        <f t="shared" si="559"/>
        <v>0</v>
      </c>
      <c r="AQ160" s="775"/>
      <c r="AS160" s="775"/>
      <c r="AU160" s="775">
        <f t="shared" si="560"/>
        <v>0</v>
      </c>
      <c r="AW160" s="775"/>
      <c r="AY160" s="775"/>
      <c r="BA160" s="775">
        <f t="shared" si="561"/>
        <v>0</v>
      </c>
      <c r="BC160" s="775"/>
      <c r="BE160" s="775"/>
      <c r="BG160" s="775">
        <f t="shared" si="562"/>
        <v>0</v>
      </c>
      <c r="BI160" s="775"/>
      <c r="BK160" s="775"/>
      <c r="BM160" s="775">
        <f t="shared" si="563"/>
        <v>0</v>
      </c>
      <c r="BO160" s="775"/>
      <c r="BQ160" s="970"/>
      <c r="BS160" s="775"/>
      <c r="BU160" s="775">
        <f t="shared" si="564"/>
        <v>0</v>
      </c>
      <c r="BW160" s="775"/>
      <c r="BZ160" s="970"/>
      <c r="CB160" s="775"/>
      <c r="CD160" s="970"/>
      <c r="CF160" s="775"/>
      <c r="CH160" s="775">
        <f t="shared" si="565"/>
        <v>0</v>
      </c>
      <c r="CJ160" s="775"/>
      <c r="CL160" s="775"/>
      <c r="CN160" s="775">
        <f t="shared" si="566"/>
        <v>0</v>
      </c>
      <c r="CP160" s="775"/>
      <c r="CR160" s="775"/>
      <c r="CT160" s="775">
        <f t="shared" si="567"/>
        <v>0</v>
      </c>
      <c r="CV160" s="775"/>
      <c r="CX160" s="775"/>
      <c r="CZ160" s="775">
        <f t="shared" si="568"/>
        <v>0</v>
      </c>
      <c r="DB160" s="775"/>
      <c r="DD160" s="775"/>
      <c r="DF160" s="775">
        <f t="shared" si="569"/>
        <v>0</v>
      </c>
      <c r="DH160" s="775"/>
      <c r="DJ160" s="775"/>
      <c r="DL160" s="775">
        <f t="shared" si="570"/>
        <v>0</v>
      </c>
      <c r="DN160" s="775"/>
      <c r="DP160" s="775"/>
      <c r="DR160" s="775">
        <f t="shared" si="571"/>
        <v>0</v>
      </c>
      <c r="DT160" s="775"/>
      <c r="DV160" s="971">
        <v>0</v>
      </c>
      <c r="DX160" s="775"/>
      <c r="DZ160" s="775">
        <f t="shared" si="572"/>
        <v>0</v>
      </c>
      <c r="EB160" s="775"/>
      <c r="ED160" s="972">
        <v>0</v>
      </c>
      <c r="EF160" s="775"/>
      <c r="EH160" s="775">
        <f t="shared" si="573"/>
        <v>0</v>
      </c>
      <c r="EJ160" s="775"/>
      <c r="EL160" s="775"/>
      <c r="EN160" s="775">
        <f t="shared" si="574"/>
        <v>0</v>
      </c>
      <c r="EP160" s="775"/>
      <c r="ER160" s="775"/>
      <c r="ET160" s="775">
        <f t="shared" si="575"/>
        <v>0</v>
      </c>
      <c r="EV160" s="775"/>
      <c r="EX160" s="775"/>
      <c r="EZ160" s="775">
        <f t="shared" si="576"/>
        <v>0</v>
      </c>
      <c r="FB160" s="775"/>
      <c r="FD160" s="775"/>
      <c r="FF160" s="775"/>
      <c r="FH160" s="775"/>
      <c r="FJ160" s="775">
        <f t="shared" si="577"/>
        <v>0</v>
      </c>
      <c r="FL160" s="775"/>
      <c r="FN160" s="775"/>
      <c r="FP160" s="775">
        <f t="shared" si="578"/>
        <v>0</v>
      </c>
      <c r="FR160" s="775"/>
      <c r="FT160" s="775"/>
      <c r="FV160" s="775">
        <f t="shared" si="579"/>
        <v>0</v>
      </c>
      <c r="FX160" s="775"/>
      <c r="FZ160" s="775"/>
      <c r="GB160" s="775">
        <f t="shared" si="580"/>
        <v>0</v>
      </c>
      <c r="GD160" s="775"/>
      <c r="GF160" s="775"/>
      <c r="GH160" s="775">
        <v>0</v>
      </c>
      <c r="GK160" s="761">
        <f t="shared" si="581"/>
        <v>0</v>
      </c>
      <c r="GL160" s="973">
        <f t="shared" si="304"/>
        <v>0</v>
      </c>
      <c r="GM160" s="761">
        <f t="shared" si="582"/>
        <v>0</v>
      </c>
      <c r="GN160" s="973"/>
    </row>
    <row r="161" spans="1:196">
      <c r="A161" s="782" t="s">
        <v>588</v>
      </c>
      <c r="J161" s="758">
        <v>130</v>
      </c>
      <c r="K161" s="775"/>
      <c r="M161" s="775"/>
      <c r="O161" s="775">
        <f t="shared" si="555"/>
        <v>0</v>
      </c>
      <c r="Q161" s="775"/>
      <c r="S161" s="775"/>
      <c r="U161" s="775">
        <f t="shared" si="556"/>
        <v>0</v>
      </c>
      <c r="W161" s="775"/>
      <c r="Y161" s="775"/>
      <c r="AA161" s="775">
        <f t="shared" si="557"/>
        <v>0</v>
      </c>
      <c r="AC161" s="775"/>
      <c r="AE161" s="775"/>
      <c r="AG161" s="775">
        <f t="shared" si="558"/>
        <v>0</v>
      </c>
      <c r="AI161" s="775"/>
      <c r="AK161" s="970">
        <v>0</v>
      </c>
      <c r="AM161" s="775"/>
      <c r="AO161" s="775">
        <f t="shared" si="559"/>
        <v>0</v>
      </c>
      <c r="AQ161" s="775"/>
      <c r="AS161" s="775"/>
      <c r="AU161" s="775">
        <f t="shared" si="560"/>
        <v>0</v>
      </c>
      <c r="AW161" s="775"/>
      <c r="AY161" s="775"/>
      <c r="BA161" s="775">
        <f t="shared" si="561"/>
        <v>0</v>
      </c>
      <c r="BC161" s="775"/>
      <c r="BE161" s="775"/>
      <c r="BG161" s="775">
        <f t="shared" si="562"/>
        <v>0</v>
      </c>
      <c r="BI161" s="775"/>
      <c r="BK161" s="775"/>
      <c r="BM161" s="775">
        <f t="shared" si="563"/>
        <v>0</v>
      </c>
      <c r="BO161" s="775"/>
      <c r="BQ161" s="970"/>
      <c r="BS161" s="775"/>
      <c r="BU161" s="775">
        <f t="shared" si="564"/>
        <v>0</v>
      </c>
      <c r="BW161" s="775"/>
      <c r="BZ161" s="970"/>
      <c r="CB161" s="775"/>
      <c r="CD161" s="970"/>
      <c r="CF161" s="775"/>
      <c r="CH161" s="775">
        <f t="shared" si="565"/>
        <v>0</v>
      </c>
      <c r="CJ161" s="775"/>
      <c r="CL161" s="775"/>
      <c r="CN161" s="775">
        <f t="shared" si="566"/>
        <v>0</v>
      </c>
      <c r="CP161" s="775"/>
      <c r="CR161" s="775"/>
      <c r="CT161" s="775">
        <f t="shared" si="567"/>
        <v>0</v>
      </c>
      <c r="CV161" s="775"/>
      <c r="CX161" s="775"/>
      <c r="CZ161" s="775">
        <f t="shared" si="568"/>
        <v>0</v>
      </c>
      <c r="DB161" s="775"/>
      <c r="DD161" s="775"/>
      <c r="DF161" s="775">
        <f t="shared" si="569"/>
        <v>0</v>
      </c>
      <c r="DH161" s="775"/>
      <c r="DJ161" s="775"/>
      <c r="DL161" s="775">
        <f t="shared" si="570"/>
        <v>0</v>
      </c>
      <c r="DN161" s="775"/>
      <c r="DP161" s="775"/>
      <c r="DR161" s="775">
        <f t="shared" si="571"/>
        <v>0</v>
      </c>
      <c r="DT161" s="775"/>
      <c r="DV161" s="971">
        <v>0</v>
      </c>
      <c r="DX161" s="775"/>
      <c r="DZ161" s="775">
        <f t="shared" si="572"/>
        <v>0</v>
      </c>
      <c r="EB161" s="775"/>
      <c r="ED161" s="972">
        <v>0</v>
      </c>
      <c r="EF161" s="775"/>
      <c r="EH161" s="775">
        <f t="shared" si="573"/>
        <v>0</v>
      </c>
      <c r="EJ161" s="775"/>
      <c r="EL161" s="775"/>
      <c r="EN161" s="775">
        <f t="shared" si="574"/>
        <v>0</v>
      </c>
      <c r="EP161" s="775"/>
      <c r="ER161" s="775"/>
      <c r="ET161" s="775">
        <f t="shared" si="575"/>
        <v>0</v>
      </c>
      <c r="EV161" s="775"/>
      <c r="EX161" s="775"/>
      <c r="EZ161" s="775">
        <f t="shared" si="576"/>
        <v>0</v>
      </c>
      <c r="FB161" s="775"/>
      <c r="FD161" s="775"/>
      <c r="FF161" s="775"/>
      <c r="FH161" s="775"/>
      <c r="FJ161" s="775">
        <f t="shared" si="577"/>
        <v>0</v>
      </c>
      <c r="FL161" s="775"/>
      <c r="FN161" s="775"/>
      <c r="FP161" s="775">
        <f t="shared" si="578"/>
        <v>0</v>
      </c>
      <c r="FR161" s="775"/>
      <c r="FT161" s="775"/>
      <c r="FV161" s="775">
        <f t="shared" si="579"/>
        <v>0</v>
      </c>
      <c r="FX161" s="775">
        <v>706541</v>
      </c>
      <c r="FZ161" s="775"/>
      <c r="GB161" s="775">
        <f t="shared" si="580"/>
        <v>706541</v>
      </c>
      <c r="GD161" s="775"/>
      <c r="GF161" s="775"/>
      <c r="GH161" s="775">
        <v>0</v>
      </c>
      <c r="GK161" s="761">
        <f t="shared" si="581"/>
        <v>706541</v>
      </c>
      <c r="GL161" s="973">
        <f t="shared" si="304"/>
        <v>706.54100000000005</v>
      </c>
      <c r="GM161" s="761">
        <f t="shared" si="582"/>
        <v>0</v>
      </c>
      <c r="GN161" s="973"/>
    </row>
    <row r="162" spans="1:196">
      <c r="A162" s="758" t="s">
        <v>134</v>
      </c>
      <c r="J162" s="770">
        <v>131</v>
      </c>
      <c r="K162" s="775"/>
      <c r="M162" s="775"/>
      <c r="O162" s="775">
        <f t="shared" si="555"/>
        <v>0</v>
      </c>
      <c r="Q162" s="775"/>
      <c r="S162" s="775"/>
      <c r="U162" s="775">
        <f t="shared" si="556"/>
        <v>0</v>
      </c>
      <c r="W162" s="775"/>
      <c r="Y162" s="775"/>
      <c r="AA162" s="775">
        <f t="shared" si="557"/>
        <v>0</v>
      </c>
      <c r="AC162" s="775"/>
      <c r="AE162" s="775"/>
      <c r="AG162" s="775">
        <f t="shared" si="558"/>
        <v>0</v>
      </c>
      <c r="AI162" s="775"/>
      <c r="AK162" s="970">
        <v>0</v>
      </c>
      <c r="AM162" s="775"/>
      <c r="AO162" s="775">
        <f t="shared" si="559"/>
        <v>0</v>
      </c>
      <c r="AQ162" s="775"/>
      <c r="AS162" s="775"/>
      <c r="AU162" s="775">
        <f t="shared" si="560"/>
        <v>0</v>
      </c>
      <c r="AW162" s="775"/>
      <c r="AY162" s="775"/>
      <c r="BA162" s="775">
        <f t="shared" si="561"/>
        <v>0</v>
      </c>
      <c r="BC162" s="775"/>
      <c r="BE162" s="775"/>
      <c r="BG162" s="775">
        <f t="shared" si="562"/>
        <v>0</v>
      </c>
      <c r="BI162" s="775"/>
      <c r="BK162" s="775"/>
      <c r="BM162" s="775">
        <f t="shared" si="563"/>
        <v>0</v>
      </c>
      <c r="BO162" s="775"/>
      <c r="BQ162" s="970"/>
      <c r="BS162" s="775"/>
      <c r="BU162" s="775">
        <f t="shared" si="564"/>
        <v>0</v>
      </c>
      <c r="BW162" s="775"/>
      <c r="BZ162" s="970"/>
      <c r="CB162" s="775"/>
      <c r="CD162" s="970"/>
      <c r="CF162" s="775"/>
      <c r="CH162" s="775">
        <f t="shared" si="565"/>
        <v>0</v>
      </c>
      <c r="CJ162" s="775"/>
      <c r="CL162" s="775"/>
      <c r="CN162" s="775">
        <f t="shared" si="566"/>
        <v>0</v>
      </c>
      <c r="CP162" s="775"/>
      <c r="CR162" s="775"/>
      <c r="CT162" s="775">
        <f t="shared" si="567"/>
        <v>0</v>
      </c>
      <c r="CV162" s="775"/>
      <c r="CX162" s="775"/>
      <c r="CZ162" s="775">
        <f t="shared" si="568"/>
        <v>0</v>
      </c>
      <c r="DB162" s="776"/>
      <c r="DD162" s="775"/>
      <c r="DF162" s="775">
        <f t="shared" si="569"/>
        <v>0</v>
      </c>
      <c r="DH162" s="775"/>
      <c r="DJ162" s="775"/>
      <c r="DL162" s="775">
        <f t="shared" si="570"/>
        <v>0</v>
      </c>
      <c r="DN162" s="775"/>
      <c r="DP162" s="775"/>
      <c r="DR162" s="775">
        <f t="shared" si="571"/>
        <v>0</v>
      </c>
      <c r="DT162" s="775"/>
      <c r="DV162" s="971">
        <v>0</v>
      </c>
      <c r="DX162" s="775"/>
      <c r="DZ162" s="775">
        <f t="shared" si="572"/>
        <v>0</v>
      </c>
      <c r="EB162" s="775"/>
      <c r="ED162" s="972">
        <v>0</v>
      </c>
      <c r="EF162" s="775"/>
      <c r="EH162" s="775">
        <f t="shared" si="573"/>
        <v>0</v>
      </c>
      <c r="EJ162" s="776"/>
      <c r="EL162" s="775"/>
      <c r="EN162" s="775">
        <f t="shared" si="574"/>
        <v>0</v>
      </c>
      <c r="EP162" s="775"/>
      <c r="ER162" s="775"/>
      <c r="ET162" s="775">
        <f t="shared" si="575"/>
        <v>0</v>
      </c>
      <c r="EV162" s="775"/>
      <c r="EX162" s="775"/>
      <c r="EZ162" s="775">
        <f t="shared" si="576"/>
        <v>0</v>
      </c>
      <c r="FB162" s="775"/>
      <c r="FD162" s="775"/>
      <c r="FF162" s="775"/>
      <c r="FH162" s="775"/>
      <c r="FJ162" s="775">
        <f t="shared" si="577"/>
        <v>0</v>
      </c>
      <c r="FL162" s="775"/>
      <c r="FN162" s="775"/>
      <c r="FP162" s="775">
        <f t="shared" si="578"/>
        <v>0</v>
      </c>
      <c r="FR162" s="775"/>
      <c r="FT162" s="775"/>
      <c r="FV162" s="775">
        <f t="shared" si="579"/>
        <v>0</v>
      </c>
      <c r="FX162" s="775"/>
      <c r="FZ162" s="775"/>
      <c r="GB162" s="775">
        <f t="shared" si="580"/>
        <v>0</v>
      </c>
      <c r="GD162" s="775"/>
      <c r="GF162" s="775"/>
      <c r="GH162" s="775">
        <v>0</v>
      </c>
      <c r="GK162" s="761">
        <f t="shared" si="581"/>
        <v>0</v>
      </c>
      <c r="GL162" s="973">
        <f t="shared" si="304"/>
        <v>0</v>
      </c>
      <c r="GM162" s="761">
        <f t="shared" si="582"/>
        <v>0</v>
      </c>
      <c r="GN162" s="973"/>
    </row>
    <row r="163" spans="1:196">
      <c r="B163" s="766" t="s">
        <v>577</v>
      </c>
      <c r="I163" s="771"/>
      <c r="J163" s="758">
        <v>132</v>
      </c>
      <c r="K163" s="777">
        <f>SUM(K150:K162)</f>
        <v>0</v>
      </c>
      <c r="M163" s="777">
        <f>SUM(M150:M162)</f>
        <v>0</v>
      </c>
      <c r="O163" s="777">
        <f>SUM(O150:O162)</f>
        <v>0</v>
      </c>
      <c r="Q163" s="777">
        <f>SUM(Q150:Q162)</f>
        <v>400434</v>
      </c>
      <c r="S163" s="777">
        <f>SUM(S150:S162)</f>
        <v>0</v>
      </c>
      <c r="U163" s="777">
        <f>SUM(U150:U162)</f>
        <v>400434</v>
      </c>
      <c r="W163" s="777">
        <f>SUM(W150:W162)</f>
        <v>19023</v>
      </c>
      <c r="Y163" s="777">
        <f>SUM(Y150:Y162)</f>
        <v>0</v>
      </c>
      <c r="AA163" s="777">
        <f>SUM(AA150:AA162)</f>
        <v>19023</v>
      </c>
      <c r="AC163" s="777">
        <f>SUM(AC150:AC162)</f>
        <v>0</v>
      </c>
      <c r="AE163" s="777">
        <f>SUM(AE150:AE162)</f>
        <v>0</v>
      </c>
      <c r="AG163" s="777">
        <f>SUM(AG150:AG162)</f>
        <v>0</v>
      </c>
      <c r="AI163" s="777">
        <f>SUM(AI150:AI162)</f>
        <v>3070746</v>
      </c>
      <c r="AK163" s="974">
        <f>SUM(AK150:AK162)</f>
        <v>0</v>
      </c>
      <c r="AM163" s="777">
        <f>SUM(AM150:AM162)</f>
        <v>0</v>
      </c>
      <c r="AO163" s="777">
        <f>SUM(AO150:AO162)</f>
        <v>3070746</v>
      </c>
      <c r="AQ163" s="777">
        <f>SUM(AQ150:AQ162)</f>
        <v>0</v>
      </c>
      <c r="AS163" s="777">
        <f>SUM(AS150:AS162)</f>
        <v>0</v>
      </c>
      <c r="AU163" s="777">
        <f>SUM(AU150:AU162)</f>
        <v>0</v>
      </c>
      <c r="AW163" s="777">
        <f>SUM(AW150:AW162)</f>
        <v>0</v>
      </c>
      <c r="AY163" s="777">
        <f>SUM(AY150:AY162)</f>
        <v>0</v>
      </c>
      <c r="BA163" s="777">
        <f>SUM(BA150:BA162)</f>
        <v>0</v>
      </c>
      <c r="BC163" s="777">
        <f>SUM(BC150:BC162)</f>
        <v>455506</v>
      </c>
      <c r="BE163" s="777">
        <f>SUM(BE150:BE162)</f>
        <v>0</v>
      </c>
      <c r="BG163" s="777">
        <f>SUM(BG150:BG162)</f>
        <v>455506</v>
      </c>
      <c r="BI163" s="777">
        <f>SUM(BI150:BI162)</f>
        <v>0</v>
      </c>
      <c r="BK163" s="777">
        <f>SUM(BK150:BK162)</f>
        <v>0</v>
      </c>
      <c r="BM163" s="777">
        <f>SUM(BM150:BM162)</f>
        <v>0</v>
      </c>
      <c r="BO163" s="777">
        <f>SUM(BO150:BO162)</f>
        <v>61899</v>
      </c>
      <c r="BQ163" s="974">
        <f>SUM(BQ150:BQ162)</f>
        <v>0</v>
      </c>
      <c r="BS163" s="777">
        <f>SUM(BS150:BS162)</f>
        <v>0</v>
      </c>
      <c r="BU163" s="777">
        <f>SUM(BU150:BU162)</f>
        <v>61899</v>
      </c>
      <c r="BW163" s="777">
        <f>SUM(BW150:BW162)</f>
        <v>105529</v>
      </c>
      <c r="BZ163" s="974">
        <f>SUM(BZ150:BZ162)</f>
        <v>0</v>
      </c>
      <c r="CB163" s="777">
        <f>SUM(CB150:CB162)</f>
        <v>0</v>
      </c>
      <c r="CD163" s="974">
        <f>SUM(CD150:CD162)</f>
        <v>0</v>
      </c>
      <c r="CF163" s="777">
        <f>SUM(CF150:CF162)</f>
        <v>8961</v>
      </c>
      <c r="CH163" s="777">
        <f>SUM(CH150:CH162)</f>
        <v>114490</v>
      </c>
      <c r="CJ163" s="777">
        <f>SUM(CJ150:CJ162)</f>
        <v>0</v>
      </c>
      <c r="CL163" s="777">
        <f>SUM(CL150:CL162)</f>
        <v>0</v>
      </c>
      <c r="CN163" s="777">
        <f>SUM(CN150:CN162)</f>
        <v>0</v>
      </c>
      <c r="CP163" s="777">
        <f>SUM(CP150:CP162)</f>
        <v>133778</v>
      </c>
      <c r="CR163" s="777">
        <f>SUM(CR150:CR162)</f>
        <v>0</v>
      </c>
      <c r="CT163" s="777">
        <f>SUM(CT150:CT162)</f>
        <v>133778</v>
      </c>
      <c r="CV163" s="777">
        <f>SUM(CV150:CV162)</f>
        <v>0</v>
      </c>
      <c r="CX163" s="777">
        <f>SUM(CX150:CX162)</f>
        <v>0</v>
      </c>
      <c r="CZ163" s="777">
        <f>SUM(CZ150:CZ162)</f>
        <v>0</v>
      </c>
      <c r="DB163" s="777">
        <f>SUM(DB150:DB162)</f>
        <v>172752000</v>
      </c>
      <c r="DD163" s="777">
        <f>SUM(DD150:DD162)</f>
        <v>-2363000</v>
      </c>
      <c r="DF163" s="777">
        <f>SUM(DF150:DF162)</f>
        <v>170389000</v>
      </c>
      <c r="DH163" s="777">
        <f>SUM(DH150:DH162)</f>
        <v>0</v>
      </c>
      <c r="DJ163" s="777">
        <f>SUM(DJ150:DJ162)</f>
        <v>0</v>
      </c>
      <c r="DL163" s="777">
        <f>SUM(DL150:DL162)</f>
        <v>0</v>
      </c>
      <c r="DN163" s="777">
        <f>SUM(DN150:DN162)</f>
        <v>0</v>
      </c>
      <c r="DP163" s="777">
        <f>SUM(DP150:DP162)</f>
        <v>0</v>
      </c>
      <c r="DR163" s="777">
        <f>SUM(DR150:DR162)</f>
        <v>0</v>
      </c>
      <c r="DT163" s="777">
        <f>SUM(DT150:DT162)</f>
        <v>44238</v>
      </c>
      <c r="DV163" s="975">
        <f>SUM(DV150:DV162)</f>
        <v>0</v>
      </c>
      <c r="DX163" s="777">
        <f>SUM(DX150:DX162)</f>
        <v>0</v>
      </c>
      <c r="DZ163" s="777">
        <f>SUM(DZ150:DZ162)</f>
        <v>44238</v>
      </c>
      <c r="EB163" s="777">
        <f>SUM(EB150:EB162)</f>
        <v>425802</v>
      </c>
      <c r="ED163" s="976">
        <f>SUM(ED150:ED162)</f>
        <v>0</v>
      </c>
      <c r="EF163" s="777">
        <f>SUM(EF150:EF162)</f>
        <v>0</v>
      </c>
      <c r="EH163" s="777">
        <f>SUM(EH150:EH162)</f>
        <v>425802</v>
      </c>
      <c r="EJ163" s="777">
        <f>SUM(EJ150:EJ162)</f>
        <v>226791092</v>
      </c>
      <c r="EL163" s="777">
        <f>SUM(EL150:EL162)</f>
        <v>-26421782</v>
      </c>
      <c r="EN163" s="777">
        <f>SUM(EN150:EN162)</f>
        <v>200369310</v>
      </c>
      <c r="EP163" s="777">
        <f>SUM(EP150:EP162)</f>
        <v>128752590</v>
      </c>
      <c r="ER163" s="777">
        <f>SUM(ER150:ER162)</f>
        <v>6273455</v>
      </c>
      <c r="ET163" s="777">
        <f>SUM(ET150:ET162)</f>
        <v>135026045</v>
      </c>
      <c r="EV163" s="777">
        <f>SUM(EV150:EV162)</f>
        <v>55394965</v>
      </c>
      <c r="EX163" s="777">
        <f>SUM(EX150:EX162)</f>
        <v>-3796208</v>
      </c>
      <c r="EZ163" s="777">
        <f>SUM(EZ150:EZ162)</f>
        <v>51598757</v>
      </c>
      <c r="FB163" s="777">
        <f>SUM(FB150:FB162)</f>
        <v>0</v>
      </c>
      <c r="FD163" s="777">
        <f>SUM(FD150:FD162)</f>
        <v>0</v>
      </c>
      <c r="FF163" s="777">
        <f>SUM(FF150:FF162)</f>
        <v>335570000</v>
      </c>
      <c r="FH163" s="777">
        <f>SUM(FH150:FH162)</f>
        <v>0</v>
      </c>
      <c r="FJ163" s="777">
        <f>SUM(FJ150:FJ162)</f>
        <v>335570000</v>
      </c>
      <c r="FL163" s="777">
        <f>SUM(FL150:FL162)</f>
        <v>216541</v>
      </c>
      <c r="FN163" s="777">
        <f>SUM(FN150:FN162)</f>
        <v>0</v>
      </c>
      <c r="FP163" s="777">
        <f>SUM(FP150:FP162)</f>
        <v>216541</v>
      </c>
      <c r="FR163" s="777">
        <f>SUM(FR150:FR162)</f>
        <v>335977</v>
      </c>
      <c r="FT163" s="777">
        <f>SUM(FT150:FT162)</f>
        <v>0</v>
      </c>
      <c r="FV163" s="777">
        <f>SUM(FV150:FV162)</f>
        <v>335977</v>
      </c>
      <c r="FX163" s="777">
        <f>SUM(FX150:FX162)</f>
        <v>782382</v>
      </c>
      <c r="FZ163" s="777">
        <f>SUM(FZ150:FZ162)</f>
        <v>0</v>
      </c>
      <c r="GB163" s="777">
        <f>SUM(GB150:GB162)</f>
        <v>782382</v>
      </c>
      <c r="GD163" s="777">
        <v>509150000</v>
      </c>
      <c r="GF163" s="777">
        <v>0</v>
      </c>
      <c r="GH163" s="777">
        <v>509150000</v>
      </c>
      <c r="GK163" s="761">
        <f t="shared" si="581"/>
        <v>899013928</v>
      </c>
      <c r="GL163" s="973">
        <f t="shared" ref="GL163:GL226" si="583">GK163/1000</f>
        <v>899013.92799999996</v>
      </c>
      <c r="GM163" s="761">
        <f t="shared" si="582"/>
        <v>898231546</v>
      </c>
      <c r="GN163" s="973"/>
    </row>
    <row r="164" spans="1:196">
      <c r="B164" s="766"/>
      <c r="J164" s="770">
        <v>133</v>
      </c>
      <c r="BQ164" s="952"/>
      <c r="BW164" s="761"/>
      <c r="BZ164" s="952"/>
      <c r="CB164" s="761"/>
      <c r="CD164" s="952"/>
      <c r="CP164" s="761"/>
      <c r="CV164" s="761"/>
      <c r="DB164" s="761"/>
      <c r="DH164" s="761"/>
      <c r="DN164" s="761"/>
      <c r="DT164" s="761"/>
      <c r="DV164" s="977"/>
      <c r="EB164" s="761"/>
      <c r="ED164" s="978"/>
      <c r="EJ164" s="761"/>
      <c r="EP164" s="761"/>
      <c r="EV164" s="761"/>
      <c r="FB164" s="761"/>
      <c r="FD164" s="761"/>
      <c r="GL164" s="973">
        <f t="shared" si="583"/>
        <v>0</v>
      </c>
      <c r="GN164" s="973"/>
    </row>
    <row r="165" spans="1:196">
      <c r="A165" s="758" t="s">
        <v>241</v>
      </c>
      <c r="J165" s="758">
        <v>134</v>
      </c>
      <c r="K165" s="775"/>
      <c r="M165" s="775"/>
      <c r="O165" s="775">
        <f t="shared" ref="O165:O168" si="584">K165+M165</f>
        <v>0</v>
      </c>
      <c r="Q165" s="775"/>
      <c r="S165" s="775"/>
      <c r="U165" s="775">
        <f t="shared" ref="U165:U168" si="585">Q165+S165</f>
        <v>0</v>
      </c>
      <c r="W165" s="775"/>
      <c r="Y165" s="775"/>
      <c r="AA165" s="775">
        <f t="shared" ref="AA165:AA168" si="586">W165+Y165</f>
        <v>0</v>
      </c>
      <c r="AC165" s="775"/>
      <c r="AE165" s="775"/>
      <c r="AG165" s="775">
        <f t="shared" ref="AG165:AG168" si="587">AC165+AE165</f>
        <v>0</v>
      </c>
      <c r="AI165" s="775"/>
      <c r="AK165" s="970">
        <v>0</v>
      </c>
      <c r="AM165" s="775"/>
      <c r="AO165" s="775">
        <f t="shared" ref="AO165:AO168" si="588">AI165+AM165</f>
        <v>0</v>
      </c>
      <c r="AQ165" s="775"/>
      <c r="AS165" s="775"/>
      <c r="AU165" s="775">
        <f t="shared" ref="AU165:AU168" si="589">AQ165+AS165</f>
        <v>0</v>
      </c>
      <c r="AW165" s="775"/>
      <c r="AY165" s="775"/>
      <c r="BA165" s="775">
        <f t="shared" ref="BA165:BA168" si="590">AW165+AY165</f>
        <v>0</v>
      </c>
      <c r="BC165" s="775"/>
      <c r="BE165" s="775"/>
      <c r="BG165" s="775">
        <f t="shared" ref="BG165:BG168" si="591">BC165+BE165</f>
        <v>0</v>
      </c>
      <c r="BI165" s="775"/>
      <c r="BK165" s="775"/>
      <c r="BM165" s="775">
        <f t="shared" ref="BM165:BM168" si="592">BI165+BK165</f>
        <v>0</v>
      </c>
      <c r="BO165" s="775"/>
      <c r="BQ165" s="970"/>
      <c r="BS165" s="775"/>
      <c r="BU165" s="775">
        <f t="shared" ref="BU165:BU168" si="593">BO165+BS165</f>
        <v>0</v>
      </c>
      <c r="BW165" s="775"/>
      <c r="BZ165" s="970"/>
      <c r="CB165" s="775"/>
      <c r="CD165" s="970"/>
      <c r="CF165" s="775"/>
      <c r="CH165" s="775">
        <f t="shared" ref="CH165:CH168" si="594">BW165+CF165</f>
        <v>0</v>
      </c>
      <c r="CJ165" s="775"/>
      <c r="CL165" s="775"/>
      <c r="CN165" s="775">
        <f t="shared" ref="CN165:CN168" si="595">CJ165+CL165</f>
        <v>0</v>
      </c>
      <c r="CP165" s="775"/>
      <c r="CR165" s="775"/>
      <c r="CT165" s="775">
        <f t="shared" ref="CT165:CT168" si="596">CP165+CR165</f>
        <v>0</v>
      </c>
      <c r="CV165" s="775"/>
      <c r="CX165" s="775"/>
      <c r="CZ165" s="775">
        <f t="shared" ref="CZ165:CZ168" si="597">CV165+CX165</f>
        <v>0</v>
      </c>
      <c r="DB165" s="775"/>
      <c r="DD165" s="775"/>
      <c r="DF165" s="775">
        <f t="shared" ref="DF165:DF168" si="598">DB165+DD165</f>
        <v>0</v>
      </c>
      <c r="DH165" s="775"/>
      <c r="DJ165" s="775"/>
      <c r="DL165" s="775">
        <f t="shared" ref="DL165:DL168" si="599">DH165+DJ165</f>
        <v>0</v>
      </c>
      <c r="DN165" s="775"/>
      <c r="DP165" s="775"/>
      <c r="DR165" s="775">
        <f t="shared" ref="DR165:DR168" si="600">DN165+DP165</f>
        <v>0</v>
      </c>
      <c r="DT165" s="775"/>
      <c r="DV165" s="971">
        <v>0</v>
      </c>
      <c r="DX165" s="775"/>
      <c r="DZ165" s="775">
        <f t="shared" ref="DZ165:DZ168" si="601">DT165+DX165</f>
        <v>0</v>
      </c>
      <c r="EB165" s="775"/>
      <c r="ED165" s="972">
        <v>0</v>
      </c>
      <c r="EF165" s="775"/>
      <c r="EH165" s="775">
        <f t="shared" ref="EH165:EH168" si="602">EB165+EF165</f>
        <v>0</v>
      </c>
      <c r="EJ165" s="775"/>
      <c r="EL165" s="775"/>
      <c r="EN165" s="775">
        <f t="shared" ref="EN165:EN168" si="603">EJ165+EL165</f>
        <v>0</v>
      </c>
      <c r="EP165" s="775"/>
      <c r="ER165" s="775"/>
      <c r="ET165" s="775">
        <f t="shared" ref="ET165:ET168" si="604">EP165+ER165</f>
        <v>0</v>
      </c>
      <c r="EV165" s="775"/>
      <c r="EX165" s="775"/>
      <c r="EZ165" s="775">
        <f t="shared" ref="EZ165:EZ168" si="605">EV165+EX165</f>
        <v>0</v>
      </c>
      <c r="FB165" s="775"/>
      <c r="FD165" s="775"/>
      <c r="FF165" s="775"/>
      <c r="FH165" s="775"/>
      <c r="FJ165" s="775">
        <f t="shared" ref="FJ165:FJ168" si="606">FF165+FH165</f>
        <v>0</v>
      </c>
      <c r="FL165" s="775"/>
      <c r="FN165" s="775"/>
      <c r="FP165" s="775">
        <f t="shared" ref="FP165:FP168" si="607">FL165+FN165</f>
        <v>0</v>
      </c>
      <c r="FR165" s="775"/>
      <c r="FT165" s="775"/>
      <c r="FV165" s="775">
        <f t="shared" ref="FV165:FV168" si="608">FR165+FT165</f>
        <v>0</v>
      </c>
      <c r="FX165" s="775"/>
      <c r="FZ165" s="775"/>
      <c r="GB165" s="775">
        <f t="shared" ref="GB165:GB168" si="609">FX165+FZ165</f>
        <v>0</v>
      </c>
      <c r="GD165" s="775"/>
      <c r="GF165" s="775"/>
      <c r="GH165" s="775">
        <v>0</v>
      </c>
      <c r="GK165" s="761">
        <f t="shared" ref="GK165:GK169" si="610">O165+U165+AA165+AG165+AO165+AU165+BA165+BG165+BM165+BU165+CH165+CN165+CT165+CZ165+DF165+DL165+DR165+DZ165+EH165+EN165+ET165+EZ165+FJ165+FP165+FV165+GB165</f>
        <v>0</v>
      </c>
      <c r="GL165" s="973">
        <f t="shared" si="583"/>
        <v>0</v>
      </c>
      <c r="GM165" s="761">
        <f t="shared" ref="GM165:GM169" si="611">O165+U165+AA165+AG165+AO165+BA165+BG165+BM165+BU165+CH165+CN165+CT165+DF165+DZ165+EH165+EN165+ET165+EZ165+FJ165+FP165+FV165</f>
        <v>0</v>
      </c>
      <c r="GN165" s="973"/>
    </row>
    <row r="166" spans="1:196">
      <c r="A166" s="758" t="s">
        <v>242</v>
      </c>
      <c r="I166" s="771"/>
      <c r="J166" s="770">
        <v>135</v>
      </c>
      <c r="K166" s="775"/>
      <c r="M166" s="775"/>
      <c r="O166" s="775">
        <f t="shared" si="584"/>
        <v>0</v>
      </c>
      <c r="Q166" s="775"/>
      <c r="S166" s="775"/>
      <c r="U166" s="775">
        <f t="shared" si="585"/>
        <v>0</v>
      </c>
      <c r="W166" s="775"/>
      <c r="Y166" s="775"/>
      <c r="AA166" s="775">
        <f t="shared" si="586"/>
        <v>0</v>
      </c>
      <c r="AC166" s="775"/>
      <c r="AE166" s="775"/>
      <c r="AG166" s="775">
        <f t="shared" si="587"/>
        <v>0</v>
      </c>
      <c r="AI166" s="775"/>
      <c r="AK166" s="970">
        <v>0</v>
      </c>
      <c r="AM166" s="775"/>
      <c r="AO166" s="775">
        <f t="shared" si="588"/>
        <v>0</v>
      </c>
      <c r="AQ166" s="775"/>
      <c r="AS166" s="775"/>
      <c r="AU166" s="775">
        <f t="shared" si="589"/>
        <v>0</v>
      </c>
      <c r="AW166" s="775"/>
      <c r="AY166" s="775"/>
      <c r="BA166" s="775">
        <f t="shared" si="590"/>
        <v>0</v>
      </c>
      <c r="BC166" s="775"/>
      <c r="BE166" s="775"/>
      <c r="BG166" s="775">
        <f t="shared" si="591"/>
        <v>0</v>
      </c>
      <c r="BI166" s="775"/>
      <c r="BK166" s="775"/>
      <c r="BM166" s="775">
        <f t="shared" si="592"/>
        <v>0</v>
      </c>
      <c r="BO166" s="775"/>
      <c r="BQ166" s="970"/>
      <c r="BS166" s="775"/>
      <c r="BU166" s="775">
        <f t="shared" si="593"/>
        <v>0</v>
      </c>
      <c r="BW166" s="775"/>
      <c r="BZ166" s="970"/>
      <c r="CB166" s="775"/>
      <c r="CD166" s="970"/>
      <c r="CF166" s="775"/>
      <c r="CH166" s="775">
        <f t="shared" si="594"/>
        <v>0</v>
      </c>
      <c r="CJ166" s="775"/>
      <c r="CL166" s="775"/>
      <c r="CN166" s="775">
        <f t="shared" si="595"/>
        <v>0</v>
      </c>
      <c r="CP166" s="775"/>
      <c r="CR166" s="775"/>
      <c r="CT166" s="775">
        <f t="shared" si="596"/>
        <v>0</v>
      </c>
      <c r="CV166" s="775"/>
      <c r="CX166" s="775"/>
      <c r="CZ166" s="775">
        <f t="shared" si="597"/>
        <v>0</v>
      </c>
      <c r="DB166" s="775"/>
      <c r="DD166" s="775"/>
      <c r="DF166" s="775">
        <f t="shared" si="598"/>
        <v>0</v>
      </c>
      <c r="DH166" s="775"/>
      <c r="DJ166" s="775"/>
      <c r="DL166" s="775">
        <f t="shared" si="599"/>
        <v>0</v>
      </c>
      <c r="DN166" s="775"/>
      <c r="DP166" s="775"/>
      <c r="DR166" s="775">
        <f t="shared" si="600"/>
        <v>0</v>
      </c>
      <c r="DT166" s="775"/>
      <c r="DV166" s="971">
        <v>0</v>
      </c>
      <c r="DX166" s="775"/>
      <c r="DZ166" s="775">
        <f t="shared" si="601"/>
        <v>0</v>
      </c>
      <c r="EB166" s="775"/>
      <c r="ED166" s="972">
        <v>0</v>
      </c>
      <c r="EF166" s="775"/>
      <c r="EH166" s="775">
        <f t="shared" si="602"/>
        <v>0</v>
      </c>
      <c r="EJ166" s="776"/>
      <c r="EL166" s="775"/>
      <c r="EN166" s="775">
        <f t="shared" si="603"/>
        <v>0</v>
      </c>
      <c r="EP166" s="775"/>
      <c r="ER166" s="775"/>
      <c r="ET166" s="775">
        <f t="shared" si="604"/>
        <v>0</v>
      </c>
      <c r="EV166" s="775">
        <v>246553590</v>
      </c>
      <c r="EX166" s="775"/>
      <c r="EZ166" s="775">
        <f t="shared" si="605"/>
        <v>246553590</v>
      </c>
      <c r="FB166" s="775"/>
      <c r="FD166" s="775"/>
      <c r="FF166" s="775"/>
      <c r="FH166" s="775"/>
      <c r="FJ166" s="775">
        <f t="shared" si="606"/>
        <v>0</v>
      </c>
      <c r="FL166" s="775"/>
      <c r="FN166" s="775"/>
      <c r="FP166" s="775">
        <f t="shared" si="607"/>
        <v>0</v>
      </c>
      <c r="FR166" s="775"/>
      <c r="FT166" s="775"/>
      <c r="FV166" s="775">
        <f t="shared" si="608"/>
        <v>0</v>
      </c>
      <c r="FX166" s="775"/>
      <c r="FZ166" s="775"/>
      <c r="GB166" s="775">
        <f t="shared" si="609"/>
        <v>0</v>
      </c>
      <c r="GD166" s="775"/>
      <c r="GF166" s="775"/>
      <c r="GH166" s="775">
        <v>0</v>
      </c>
      <c r="GK166" s="761">
        <f t="shared" si="610"/>
        <v>246553590</v>
      </c>
      <c r="GL166" s="973">
        <f t="shared" si="583"/>
        <v>246553.59</v>
      </c>
      <c r="GM166" s="761">
        <f t="shared" si="611"/>
        <v>246553590</v>
      </c>
      <c r="GN166" s="973"/>
    </row>
    <row r="167" spans="1:196">
      <c r="A167" s="758" t="s">
        <v>204</v>
      </c>
      <c r="J167" s="758">
        <v>136</v>
      </c>
      <c r="K167" s="775"/>
      <c r="M167" s="775"/>
      <c r="O167" s="775">
        <f t="shared" si="584"/>
        <v>0</v>
      </c>
      <c r="Q167" s="775"/>
      <c r="S167" s="775"/>
      <c r="U167" s="775">
        <f t="shared" si="585"/>
        <v>0</v>
      </c>
      <c r="W167" s="775"/>
      <c r="Y167" s="775"/>
      <c r="AA167" s="775">
        <f t="shared" si="586"/>
        <v>0</v>
      </c>
      <c r="AC167" s="775"/>
      <c r="AE167" s="775"/>
      <c r="AG167" s="775">
        <f t="shared" si="587"/>
        <v>0</v>
      </c>
      <c r="AI167" s="775"/>
      <c r="AK167" s="970">
        <v>0</v>
      </c>
      <c r="AM167" s="775"/>
      <c r="AO167" s="775">
        <f t="shared" si="588"/>
        <v>0</v>
      </c>
      <c r="AQ167" s="775"/>
      <c r="AS167" s="775"/>
      <c r="AU167" s="775">
        <f t="shared" si="589"/>
        <v>0</v>
      </c>
      <c r="AW167" s="775"/>
      <c r="AY167" s="775"/>
      <c r="BA167" s="775">
        <f t="shared" si="590"/>
        <v>0</v>
      </c>
      <c r="BC167" s="775"/>
      <c r="BE167" s="775"/>
      <c r="BG167" s="775">
        <f t="shared" si="591"/>
        <v>0</v>
      </c>
      <c r="BI167" s="775"/>
      <c r="BK167" s="775"/>
      <c r="BM167" s="775">
        <f t="shared" si="592"/>
        <v>0</v>
      </c>
      <c r="BO167" s="775"/>
      <c r="BQ167" s="970"/>
      <c r="BS167" s="775"/>
      <c r="BU167" s="775">
        <f t="shared" si="593"/>
        <v>0</v>
      </c>
      <c r="BW167" s="775"/>
      <c r="BZ167" s="970"/>
      <c r="CB167" s="775"/>
      <c r="CD167" s="970"/>
      <c r="CF167" s="775"/>
      <c r="CH167" s="775">
        <f t="shared" si="594"/>
        <v>0</v>
      </c>
      <c r="CJ167" s="775"/>
      <c r="CL167" s="775"/>
      <c r="CN167" s="775">
        <f t="shared" si="595"/>
        <v>0</v>
      </c>
      <c r="CP167" s="775"/>
      <c r="CR167" s="775"/>
      <c r="CT167" s="775">
        <f t="shared" si="596"/>
        <v>0</v>
      </c>
      <c r="CV167" s="775"/>
      <c r="CX167" s="775"/>
      <c r="CZ167" s="775">
        <f t="shared" si="597"/>
        <v>0</v>
      </c>
      <c r="DB167" s="775"/>
      <c r="DD167" s="775"/>
      <c r="DF167" s="775">
        <f t="shared" si="598"/>
        <v>0</v>
      </c>
      <c r="DH167" s="775"/>
      <c r="DJ167" s="775"/>
      <c r="DL167" s="775">
        <f t="shared" si="599"/>
        <v>0</v>
      </c>
      <c r="DN167" s="775"/>
      <c r="DP167" s="775"/>
      <c r="DR167" s="775">
        <f t="shared" si="600"/>
        <v>0</v>
      </c>
      <c r="DT167" s="775"/>
      <c r="DV167" s="971">
        <v>0</v>
      </c>
      <c r="DX167" s="775"/>
      <c r="DZ167" s="775">
        <f t="shared" si="601"/>
        <v>0</v>
      </c>
      <c r="EB167" s="775"/>
      <c r="ED167" s="972">
        <v>0</v>
      </c>
      <c r="EF167" s="775"/>
      <c r="EH167" s="775">
        <f t="shared" si="602"/>
        <v>0</v>
      </c>
      <c r="EJ167" s="775"/>
      <c r="EL167" s="775"/>
      <c r="EN167" s="775">
        <f t="shared" si="603"/>
        <v>0</v>
      </c>
      <c r="EP167" s="775"/>
      <c r="ER167" s="775"/>
      <c r="ET167" s="775">
        <f t="shared" si="604"/>
        <v>0</v>
      </c>
      <c r="EV167" s="775"/>
      <c r="EX167" s="775"/>
      <c r="EZ167" s="775">
        <f t="shared" si="605"/>
        <v>0</v>
      </c>
      <c r="FB167" s="775"/>
      <c r="FD167" s="775"/>
      <c r="FF167" s="775"/>
      <c r="FH167" s="775"/>
      <c r="FJ167" s="775">
        <f t="shared" si="606"/>
        <v>0</v>
      </c>
      <c r="FL167" s="775"/>
      <c r="FN167" s="775"/>
      <c r="FP167" s="775">
        <f t="shared" si="607"/>
        <v>0</v>
      </c>
      <c r="FR167" s="775"/>
      <c r="FT167" s="775"/>
      <c r="FV167" s="775">
        <f t="shared" si="608"/>
        <v>0</v>
      </c>
      <c r="FX167" s="775"/>
      <c r="FZ167" s="775"/>
      <c r="GB167" s="775">
        <f t="shared" si="609"/>
        <v>0</v>
      </c>
      <c r="GD167" s="775"/>
      <c r="GF167" s="775"/>
      <c r="GH167" s="775">
        <v>0</v>
      </c>
      <c r="GK167" s="761">
        <f t="shared" si="610"/>
        <v>0</v>
      </c>
      <c r="GL167" s="973">
        <f t="shared" si="583"/>
        <v>0</v>
      </c>
      <c r="GM167" s="761">
        <f t="shared" si="611"/>
        <v>0</v>
      </c>
      <c r="GN167" s="973"/>
    </row>
    <row r="168" spans="1:196">
      <c r="A168" s="758" t="s">
        <v>243</v>
      </c>
      <c r="I168" s="771"/>
      <c r="J168" s="770">
        <v>137</v>
      </c>
      <c r="K168" s="775"/>
      <c r="M168" s="775"/>
      <c r="O168" s="775">
        <f t="shared" si="584"/>
        <v>0</v>
      </c>
      <c r="Q168" s="775"/>
      <c r="S168" s="775"/>
      <c r="U168" s="775">
        <f t="shared" si="585"/>
        <v>0</v>
      </c>
      <c r="W168" s="775"/>
      <c r="Y168" s="775"/>
      <c r="AA168" s="775">
        <f t="shared" si="586"/>
        <v>0</v>
      </c>
      <c r="AC168" s="775"/>
      <c r="AE168" s="775"/>
      <c r="AG168" s="775">
        <f t="shared" si="587"/>
        <v>0</v>
      </c>
      <c r="AI168" s="775"/>
      <c r="AK168" s="970">
        <v>0</v>
      </c>
      <c r="AM168" s="775"/>
      <c r="AO168" s="775">
        <f t="shared" si="588"/>
        <v>0</v>
      </c>
      <c r="AQ168" s="775"/>
      <c r="AS168" s="775"/>
      <c r="AU168" s="775">
        <f t="shared" si="589"/>
        <v>0</v>
      </c>
      <c r="AW168" s="775"/>
      <c r="AY168" s="775"/>
      <c r="BA168" s="775">
        <f t="shared" si="590"/>
        <v>0</v>
      </c>
      <c r="BC168" s="775"/>
      <c r="BE168" s="775"/>
      <c r="BG168" s="775">
        <f t="shared" si="591"/>
        <v>0</v>
      </c>
      <c r="BI168" s="775"/>
      <c r="BK168" s="775"/>
      <c r="BM168" s="775">
        <f t="shared" si="592"/>
        <v>0</v>
      </c>
      <c r="BO168" s="775"/>
      <c r="BQ168" s="970"/>
      <c r="BS168" s="775"/>
      <c r="BU168" s="775">
        <f t="shared" si="593"/>
        <v>0</v>
      </c>
      <c r="BW168" s="775"/>
      <c r="BZ168" s="970"/>
      <c r="CB168" s="775"/>
      <c r="CD168" s="970"/>
      <c r="CF168" s="775"/>
      <c r="CH168" s="775">
        <f t="shared" si="594"/>
        <v>0</v>
      </c>
      <c r="CJ168" s="775"/>
      <c r="CL168" s="775"/>
      <c r="CN168" s="775">
        <f t="shared" si="595"/>
        <v>0</v>
      </c>
      <c r="CP168" s="775"/>
      <c r="CR168" s="775"/>
      <c r="CT168" s="775">
        <f t="shared" si="596"/>
        <v>0</v>
      </c>
      <c r="CV168" s="775"/>
      <c r="CX168" s="775"/>
      <c r="CZ168" s="775">
        <f t="shared" si="597"/>
        <v>0</v>
      </c>
      <c r="DB168" s="775"/>
      <c r="DD168" s="775"/>
      <c r="DF168" s="775">
        <f t="shared" si="598"/>
        <v>0</v>
      </c>
      <c r="DH168" s="775"/>
      <c r="DJ168" s="775"/>
      <c r="DL168" s="775">
        <f t="shared" si="599"/>
        <v>0</v>
      </c>
      <c r="DN168" s="775"/>
      <c r="DP168" s="775"/>
      <c r="DR168" s="775">
        <f t="shared" si="600"/>
        <v>0</v>
      </c>
      <c r="DT168" s="775"/>
      <c r="DV168" s="971">
        <v>0</v>
      </c>
      <c r="DX168" s="775"/>
      <c r="DZ168" s="775">
        <f t="shared" si="601"/>
        <v>0</v>
      </c>
      <c r="EB168" s="775"/>
      <c r="ED168" s="972">
        <v>0</v>
      </c>
      <c r="EF168" s="775"/>
      <c r="EH168" s="775">
        <f t="shared" si="602"/>
        <v>0</v>
      </c>
      <c r="EJ168" s="775"/>
      <c r="EL168" s="775"/>
      <c r="EN168" s="775">
        <f t="shared" si="603"/>
        <v>0</v>
      </c>
      <c r="EP168" s="775"/>
      <c r="ER168" s="775"/>
      <c r="ET168" s="775">
        <f t="shared" si="604"/>
        <v>0</v>
      </c>
      <c r="EV168" s="775"/>
      <c r="EX168" s="775"/>
      <c r="EZ168" s="775">
        <f t="shared" si="605"/>
        <v>0</v>
      </c>
      <c r="FB168" s="775"/>
      <c r="FD168" s="775"/>
      <c r="FF168" s="775"/>
      <c r="FH168" s="775"/>
      <c r="FJ168" s="775">
        <f t="shared" si="606"/>
        <v>0</v>
      </c>
      <c r="FL168" s="775"/>
      <c r="FN168" s="775"/>
      <c r="FP168" s="775">
        <f t="shared" si="607"/>
        <v>0</v>
      </c>
      <c r="FR168" s="775"/>
      <c r="FT168" s="775"/>
      <c r="FV168" s="775">
        <f t="shared" si="608"/>
        <v>0</v>
      </c>
      <c r="FX168" s="775"/>
      <c r="FZ168" s="775"/>
      <c r="GB168" s="775">
        <f t="shared" si="609"/>
        <v>0</v>
      </c>
      <c r="GD168" s="775"/>
      <c r="GF168" s="775"/>
      <c r="GH168" s="775">
        <v>0</v>
      </c>
      <c r="GK168" s="761">
        <f t="shared" si="610"/>
        <v>0</v>
      </c>
      <c r="GL168" s="973">
        <f t="shared" si="583"/>
        <v>0</v>
      </c>
      <c r="GM168" s="761">
        <f t="shared" si="611"/>
        <v>0</v>
      </c>
      <c r="GN168" s="973"/>
    </row>
    <row r="169" spans="1:196">
      <c r="A169" s="766"/>
      <c r="B169" s="766" t="s">
        <v>63</v>
      </c>
      <c r="J169" s="758">
        <v>138</v>
      </c>
      <c r="K169" s="777">
        <f>SUM(K165:K168)</f>
        <v>0</v>
      </c>
      <c r="M169" s="777">
        <f>SUM(M165:M168)</f>
        <v>0</v>
      </c>
      <c r="O169" s="777">
        <f>SUM(O165:O168)</f>
        <v>0</v>
      </c>
      <c r="Q169" s="777">
        <f>SUM(Q165:Q168)</f>
        <v>0</v>
      </c>
      <c r="S169" s="777">
        <f>SUM(S165:S168)</f>
        <v>0</v>
      </c>
      <c r="U169" s="777">
        <f>SUM(U165:U168)</f>
        <v>0</v>
      </c>
      <c r="W169" s="777">
        <f>SUM(W165:W168)</f>
        <v>0</v>
      </c>
      <c r="Y169" s="777">
        <f>SUM(Y165:Y168)</f>
        <v>0</v>
      </c>
      <c r="AA169" s="777">
        <f>SUM(AA165:AA168)</f>
        <v>0</v>
      </c>
      <c r="AC169" s="777">
        <f>SUM(AC165:AC168)</f>
        <v>0</v>
      </c>
      <c r="AE169" s="777">
        <f>SUM(AE165:AE168)</f>
        <v>0</v>
      </c>
      <c r="AG169" s="777">
        <f>SUM(AG165:AG168)</f>
        <v>0</v>
      </c>
      <c r="AI169" s="777">
        <f>SUM(AI165:AI168)</f>
        <v>0</v>
      </c>
      <c r="AK169" s="974">
        <f>SUM(AK165:AK168)</f>
        <v>0</v>
      </c>
      <c r="AM169" s="777">
        <f>SUM(AM165:AM168)</f>
        <v>0</v>
      </c>
      <c r="AO169" s="777">
        <f>SUM(AO165:AO168)</f>
        <v>0</v>
      </c>
      <c r="AQ169" s="777">
        <f>SUM(AQ165:AQ168)</f>
        <v>0</v>
      </c>
      <c r="AS169" s="777">
        <f>SUM(AS165:AS168)</f>
        <v>0</v>
      </c>
      <c r="AU169" s="777">
        <f>SUM(AU165:AU168)</f>
        <v>0</v>
      </c>
      <c r="AW169" s="777">
        <f>SUM(AW165:AW168)</f>
        <v>0</v>
      </c>
      <c r="AY169" s="777">
        <f>SUM(AY165:AY168)</f>
        <v>0</v>
      </c>
      <c r="BA169" s="777">
        <f>SUM(BA165:BA168)</f>
        <v>0</v>
      </c>
      <c r="BC169" s="777">
        <f>SUM(BC165:BC168)</f>
        <v>0</v>
      </c>
      <c r="BE169" s="777">
        <f>SUM(BE165:BE168)</f>
        <v>0</v>
      </c>
      <c r="BG169" s="777">
        <f>SUM(BG165:BG168)</f>
        <v>0</v>
      </c>
      <c r="BI169" s="777">
        <f>SUM(BI165:BI168)</f>
        <v>0</v>
      </c>
      <c r="BK169" s="777">
        <f>SUM(BK165:BK168)</f>
        <v>0</v>
      </c>
      <c r="BM169" s="777">
        <f>SUM(BM165:BM168)</f>
        <v>0</v>
      </c>
      <c r="BO169" s="777">
        <f>SUM(BO165:BO168)</f>
        <v>0</v>
      </c>
      <c r="BQ169" s="974">
        <f>SUM(BQ165:BQ168)</f>
        <v>0</v>
      </c>
      <c r="BS169" s="777">
        <f>SUM(BS165:BS168)</f>
        <v>0</v>
      </c>
      <c r="BU169" s="777">
        <f>SUM(BU165:BU168)</f>
        <v>0</v>
      </c>
      <c r="BW169" s="777">
        <f>SUM(BW165:BW168)</f>
        <v>0</v>
      </c>
      <c r="BZ169" s="974">
        <f>SUM(BZ165:BZ168)</f>
        <v>0</v>
      </c>
      <c r="CB169" s="777">
        <f>SUM(CB165:CB168)</f>
        <v>0</v>
      </c>
      <c r="CD169" s="974">
        <f>SUM(CD165:CD168)</f>
        <v>0</v>
      </c>
      <c r="CF169" s="777">
        <f>SUM(CF165:CF168)</f>
        <v>0</v>
      </c>
      <c r="CH169" s="777">
        <f>SUM(CH165:CH168)</f>
        <v>0</v>
      </c>
      <c r="CJ169" s="777">
        <f>SUM(CJ165:CJ168)</f>
        <v>0</v>
      </c>
      <c r="CL169" s="777">
        <f>SUM(CL165:CL168)</f>
        <v>0</v>
      </c>
      <c r="CN169" s="777">
        <f>SUM(CN165:CN168)</f>
        <v>0</v>
      </c>
      <c r="CP169" s="777">
        <f>SUM(CP165:CP168)</f>
        <v>0</v>
      </c>
      <c r="CR169" s="777">
        <f>SUM(CR165:CR168)</f>
        <v>0</v>
      </c>
      <c r="CT169" s="777">
        <f>SUM(CT165:CT168)</f>
        <v>0</v>
      </c>
      <c r="CV169" s="777">
        <f>SUM(CV165:CV168)</f>
        <v>0</v>
      </c>
      <c r="CX169" s="777">
        <f>SUM(CX165:CX168)</f>
        <v>0</v>
      </c>
      <c r="CZ169" s="777">
        <f>SUM(CZ165:CZ168)</f>
        <v>0</v>
      </c>
      <c r="DB169" s="777">
        <f>SUM(DB165:DB168)</f>
        <v>0</v>
      </c>
      <c r="DD169" s="777">
        <f>SUM(DD165:DD168)</f>
        <v>0</v>
      </c>
      <c r="DF169" s="777">
        <f>SUM(DF165:DF168)</f>
        <v>0</v>
      </c>
      <c r="DH169" s="777">
        <f>SUM(DH165:DH168)</f>
        <v>0</v>
      </c>
      <c r="DJ169" s="777">
        <f>SUM(DJ165:DJ168)</f>
        <v>0</v>
      </c>
      <c r="DL169" s="777">
        <f>SUM(DL165:DL168)</f>
        <v>0</v>
      </c>
      <c r="DN169" s="777">
        <f>SUM(DN165:DN168)</f>
        <v>0</v>
      </c>
      <c r="DP169" s="777">
        <f>SUM(DP165:DP168)</f>
        <v>0</v>
      </c>
      <c r="DR169" s="777">
        <f>SUM(DR165:DR168)</f>
        <v>0</v>
      </c>
      <c r="DT169" s="777">
        <f>SUM(DT165:DT168)</f>
        <v>0</v>
      </c>
      <c r="DV169" s="975">
        <f>SUM(DV165:DV168)</f>
        <v>0</v>
      </c>
      <c r="DX169" s="777">
        <f>SUM(DX165:DX168)</f>
        <v>0</v>
      </c>
      <c r="DZ169" s="777">
        <f>SUM(DZ165:DZ168)</f>
        <v>0</v>
      </c>
      <c r="EB169" s="777">
        <f>SUM(EB165:EB168)</f>
        <v>0</v>
      </c>
      <c r="ED169" s="976">
        <f>SUM(ED165:ED168)</f>
        <v>0</v>
      </c>
      <c r="EF169" s="777">
        <f>SUM(EF165:EF168)</f>
        <v>0</v>
      </c>
      <c r="EH169" s="777">
        <f>SUM(EH165:EH168)</f>
        <v>0</v>
      </c>
      <c r="EJ169" s="777">
        <f>SUM(EJ165:EJ168)</f>
        <v>0</v>
      </c>
      <c r="EL169" s="777">
        <f>SUM(EL165:EL168)</f>
        <v>0</v>
      </c>
      <c r="EN169" s="777">
        <f>SUM(EN165:EN168)</f>
        <v>0</v>
      </c>
      <c r="EP169" s="777">
        <f>SUM(EP165:EP168)</f>
        <v>0</v>
      </c>
      <c r="ER169" s="777">
        <f>SUM(ER165:ER168)</f>
        <v>0</v>
      </c>
      <c r="ET169" s="777">
        <f>SUM(ET165:ET168)</f>
        <v>0</v>
      </c>
      <c r="EV169" s="777">
        <f>SUM(EV165:EV168)</f>
        <v>246553590</v>
      </c>
      <c r="EX169" s="777">
        <f>SUM(EX165:EX168)</f>
        <v>0</v>
      </c>
      <c r="EZ169" s="777">
        <f>SUM(EZ165:EZ168)</f>
        <v>246553590</v>
      </c>
      <c r="FB169" s="777">
        <f>SUM(FB165:FB168)</f>
        <v>0</v>
      </c>
      <c r="FD169" s="777">
        <f>SUM(FD165:FD168)</f>
        <v>0</v>
      </c>
      <c r="FF169" s="777">
        <f>SUM(FF165:FF168)</f>
        <v>0</v>
      </c>
      <c r="FH169" s="777">
        <f>SUM(FH165:FH168)</f>
        <v>0</v>
      </c>
      <c r="FJ169" s="777">
        <f>SUM(FJ165:FJ168)</f>
        <v>0</v>
      </c>
      <c r="FL169" s="777">
        <f>SUM(FL165:FL168)</f>
        <v>0</v>
      </c>
      <c r="FN169" s="777">
        <f>SUM(FN165:FN168)</f>
        <v>0</v>
      </c>
      <c r="FP169" s="777">
        <f>SUM(FP165:FP168)</f>
        <v>0</v>
      </c>
      <c r="FR169" s="777">
        <f>SUM(FR165:FR168)</f>
        <v>0</v>
      </c>
      <c r="FT169" s="777">
        <f>SUM(FT165:FT168)</f>
        <v>0</v>
      </c>
      <c r="FV169" s="777">
        <f>SUM(FV165:FV168)</f>
        <v>0</v>
      </c>
      <c r="FX169" s="777">
        <f>SUM(FX165:FX168)</f>
        <v>0</v>
      </c>
      <c r="FZ169" s="777">
        <f>SUM(FZ165:FZ168)</f>
        <v>0</v>
      </c>
      <c r="GB169" s="777">
        <f>SUM(GB165:GB168)</f>
        <v>0</v>
      </c>
      <c r="GD169" s="777">
        <v>0</v>
      </c>
      <c r="GF169" s="777">
        <v>0</v>
      </c>
      <c r="GH169" s="777">
        <v>0</v>
      </c>
      <c r="GK169" s="761">
        <f t="shared" si="610"/>
        <v>246553590</v>
      </c>
      <c r="GL169" s="973">
        <f t="shared" si="583"/>
        <v>246553.59</v>
      </c>
      <c r="GM169" s="761">
        <f t="shared" si="611"/>
        <v>246553590</v>
      </c>
      <c r="GN169" s="973"/>
    </row>
    <row r="170" spans="1:196">
      <c r="J170" s="770">
        <v>139</v>
      </c>
      <c r="BQ170" s="952"/>
      <c r="BW170" s="761"/>
      <c r="BZ170" s="952"/>
      <c r="CB170" s="761"/>
      <c r="CD170" s="952"/>
      <c r="CP170" s="761"/>
      <c r="CV170" s="761"/>
      <c r="DB170" s="761"/>
      <c r="DH170" s="761"/>
      <c r="DN170" s="761"/>
      <c r="DT170" s="761"/>
      <c r="DV170" s="977"/>
      <c r="EB170" s="761"/>
      <c r="ED170" s="978"/>
      <c r="EJ170" s="761"/>
      <c r="EP170" s="761"/>
      <c r="EV170" s="761"/>
      <c r="FB170" s="761"/>
      <c r="FD170" s="761"/>
      <c r="GL170" s="973">
        <f t="shared" si="583"/>
        <v>0</v>
      </c>
      <c r="GN170" s="973"/>
    </row>
    <row r="171" spans="1:196">
      <c r="A171" s="782" t="s">
        <v>578</v>
      </c>
      <c r="I171" s="771"/>
      <c r="J171" s="758">
        <v>140</v>
      </c>
      <c r="K171" s="775"/>
      <c r="M171" s="775"/>
      <c r="O171" s="775">
        <f t="shared" ref="O171:O184" si="612">K171+M171</f>
        <v>0</v>
      </c>
      <c r="Q171" s="775"/>
      <c r="S171" s="775"/>
      <c r="U171" s="775">
        <f t="shared" ref="U171:U184" si="613">Q171+S171</f>
        <v>0</v>
      </c>
      <c r="W171" s="775"/>
      <c r="Y171" s="775"/>
      <c r="AA171" s="775">
        <f t="shared" ref="AA171:AA184" si="614">W171+Y171</f>
        <v>0</v>
      </c>
      <c r="AC171" s="775"/>
      <c r="AE171" s="775"/>
      <c r="AG171" s="775">
        <f t="shared" ref="AG171:AG184" si="615">AC171+AE171</f>
        <v>0</v>
      </c>
      <c r="AI171" s="775"/>
      <c r="AK171" s="970">
        <v>0</v>
      </c>
      <c r="AM171" s="775"/>
      <c r="AO171" s="775">
        <f t="shared" ref="AO171:AO184" si="616">AI171+AM171</f>
        <v>0</v>
      </c>
      <c r="AQ171" s="775"/>
      <c r="AS171" s="775"/>
      <c r="AU171" s="775">
        <f t="shared" ref="AU171:AU184" si="617">AQ171+AS171</f>
        <v>0</v>
      </c>
      <c r="AW171" s="775"/>
      <c r="AY171" s="775"/>
      <c r="BA171" s="775">
        <f t="shared" ref="BA171:BA184" si="618">AW171+AY171</f>
        <v>0</v>
      </c>
      <c r="BC171" s="775"/>
      <c r="BE171" s="775"/>
      <c r="BG171" s="775">
        <f t="shared" ref="BG171:BG184" si="619">BC171+BE171</f>
        <v>0</v>
      </c>
      <c r="BI171" s="775"/>
      <c r="BK171" s="775"/>
      <c r="BM171" s="775">
        <f t="shared" ref="BM171:BM184" si="620">BI171+BK171</f>
        <v>0</v>
      </c>
      <c r="BO171" s="775"/>
      <c r="BQ171" s="970"/>
      <c r="BS171" s="775"/>
      <c r="BU171" s="775">
        <f t="shared" ref="BU171:BU184" si="621">BO171+BS171</f>
        <v>0</v>
      </c>
      <c r="BW171" s="775"/>
      <c r="BZ171" s="970"/>
      <c r="CB171" s="775"/>
      <c r="CD171" s="970"/>
      <c r="CF171" s="775"/>
      <c r="CH171" s="775">
        <f t="shared" ref="CH171:CH184" si="622">BW171+CF171</f>
        <v>0</v>
      </c>
      <c r="CJ171" s="775"/>
      <c r="CL171" s="775"/>
      <c r="CN171" s="775">
        <f t="shared" ref="CN171:CN184" si="623">CJ171+CL171</f>
        <v>0</v>
      </c>
      <c r="CP171" s="775"/>
      <c r="CR171" s="775"/>
      <c r="CT171" s="775">
        <f t="shared" ref="CT171:CT184" si="624">CP171+CR171</f>
        <v>0</v>
      </c>
      <c r="CV171" s="775"/>
      <c r="CX171" s="775"/>
      <c r="CZ171" s="775">
        <f t="shared" ref="CZ171:CZ184" si="625">CV171+CX171</f>
        <v>0</v>
      </c>
      <c r="DB171" s="775">
        <v>884181000</v>
      </c>
      <c r="DD171" s="775">
        <v>2363000</v>
      </c>
      <c r="DF171" s="775">
        <f t="shared" ref="DF171:DF184" si="626">DB171+DD171</f>
        <v>886544000</v>
      </c>
      <c r="DH171" s="775"/>
      <c r="DJ171" s="775"/>
      <c r="DL171" s="775">
        <f t="shared" ref="DL171:DL184" si="627">DH171+DJ171</f>
        <v>0</v>
      </c>
      <c r="DN171" s="775"/>
      <c r="DP171" s="775"/>
      <c r="DR171" s="775">
        <f t="shared" ref="DR171:DR184" si="628">DN171+DP171</f>
        <v>0</v>
      </c>
      <c r="DT171" s="775"/>
      <c r="DV171" s="971">
        <v>0</v>
      </c>
      <c r="DX171" s="775"/>
      <c r="DZ171" s="775">
        <f t="shared" ref="DZ171:DZ184" si="629">DT171+DX171</f>
        <v>0</v>
      </c>
      <c r="EB171" s="775"/>
      <c r="ED171" s="972"/>
      <c r="EF171" s="775"/>
      <c r="EH171" s="775">
        <f t="shared" ref="EH171:EH184" si="630">EB171+EF171</f>
        <v>0</v>
      </c>
      <c r="EJ171" s="775">
        <v>3066001771</v>
      </c>
      <c r="EL171" s="775">
        <v>26421782</v>
      </c>
      <c r="EN171" s="775">
        <f t="shared" ref="EN171:EN184" si="631">EJ171+EL171</f>
        <v>3092423553</v>
      </c>
      <c r="EP171" s="775">
        <v>4635722972</v>
      </c>
      <c r="ER171" s="775"/>
      <c r="ET171" s="775">
        <f t="shared" ref="ET171:ET184" si="632">EP171+ER171</f>
        <v>4635722972</v>
      </c>
      <c r="EV171" s="776">
        <v>606141339</v>
      </c>
      <c r="EX171" s="775">
        <v>3796208</v>
      </c>
      <c r="EZ171" s="775">
        <f t="shared" ref="EZ171:EZ184" si="633">EV171+EX171</f>
        <v>609937547</v>
      </c>
      <c r="FB171" s="775"/>
      <c r="FD171" s="775"/>
      <c r="FF171" s="775">
        <v>3774009255</v>
      </c>
      <c r="FH171" s="775"/>
      <c r="FJ171" s="775">
        <f t="shared" ref="FJ171:FJ184" si="634">FF171+FH171</f>
        <v>3774009255</v>
      </c>
      <c r="FL171" s="775"/>
      <c r="FN171" s="775"/>
      <c r="FP171" s="775">
        <f t="shared" ref="FP171:FP184" si="635">FL171+FN171</f>
        <v>0</v>
      </c>
      <c r="FR171" s="775"/>
      <c r="FT171" s="775"/>
      <c r="FV171" s="775">
        <f t="shared" ref="FV171:FV184" si="636">FR171+FT171</f>
        <v>0</v>
      </c>
      <c r="FX171" s="775">
        <v>41610387</v>
      </c>
      <c r="FZ171" s="775"/>
      <c r="GB171" s="775">
        <f t="shared" ref="GB171:GB184" si="637">FX171+FZ171</f>
        <v>41610387</v>
      </c>
      <c r="GD171" s="775">
        <v>6594847424</v>
      </c>
      <c r="GF171" s="775"/>
      <c r="GH171" s="775">
        <v>6594847424</v>
      </c>
      <c r="GK171" s="761">
        <f t="shared" ref="GK171:GK185" si="638">O171+U171+AA171+AG171+AO171+AU171+BA171+BG171+BM171+BU171+CH171+CN171+CT171+CZ171+DF171+DL171+DR171+DZ171+EH171+EN171+ET171+EZ171+FJ171+FP171+FV171+GB171</f>
        <v>13040247714</v>
      </c>
      <c r="GL171" s="973">
        <f t="shared" si="583"/>
        <v>13040247.714</v>
      </c>
      <c r="GM171" s="761">
        <f t="shared" ref="GM171:GM185" si="639">O171+U171+AA171+AG171+AO171+BA171+BG171+BM171+BU171+CH171+CN171+CT171+DF171+DZ171+EH171+EN171+ET171+EZ171+FJ171+FP171+FV171</f>
        <v>12998637327</v>
      </c>
      <c r="GN171" s="973"/>
    </row>
    <row r="172" spans="1:196">
      <c r="A172" s="783" t="s">
        <v>62</v>
      </c>
      <c r="J172" s="770">
        <v>141</v>
      </c>
      <c r="K172" s="775"/>
      <c r="M172" s="775"/>
      <c r="O172" s="775">
        <f t="shared" si="612"/>
        <v>0</v>
      </c>
      <c r="Q172" s="775"/>
      <c r="S172" s="775"/>
      <c r="U172" s="775">
        <f t="shared" si="613"/>
        <v>0</v>
      </c>
      <c r="W172" s="775"/>
      <c r="Y172" s="775"/>
      <c r="AA172" s="775">
        <f t="shared" si="614"/>
        <v>0</v>
      </c>
      <c r="AC172" s="775"/>
      <c r="AE172" s="775"/>
      <c r="AG172" s="775">
        <f t="shared" si="615"/>
        <v>0</v>
      </c>
      <c r="AI172" s="775"/>
      <c r="AK172" s="970">
        <v>0</v>
      </c>
      <c r="AM172" s="775"/>
      <c r="AO172" s="775">
        <f t="shared" si="616"/>
        <v>0</v>
      </c>
      <c r="AQ172" s="775"/>
      <c r="AS172" s="775"/>
      <c r="AU172" s="775">
        <f t="shared" si="617"/>
        <v>0</v>
      </c>
      <c r="AW172" s="775"/>
      <c r="AY172" s="775"/>
      <c r="BA172" s="775">
        <f t="shared" si="618"/>
        <v>0</v>
      </c>
      <c r="BC172" s="775"/>
      <c r="BE172" s="775"/>
      <c r="BG172" s="775">
        <f t="shared" si="619"/>
        <v>0</v>
      </c>
      <c r="BI172" s="775"/>
      <c r="BK172" s="775"/>
      <c r="BM172" s="775">
        <f t="shared" si="620"/>
        <v>0</v>
      </c>
      <c r="BO172" s="775"/>
      <c r="BQ172" s="970"/>
      <c r="BS172" s="775"/>
      <c r="BU172" s="775">
        <f t="shared" si="621"/>
        <v>0</v>
      </c>
      <c r="BW172" s="775"/>
      <c r="BZ172" s="970"/>
      <c r="CB172" s="775"/>
      <c r="CD172" s="970"/>
      <c r="CF172" s="775"/>
      <c r="CH172" s="775">
        <f t="shared" si="622"/>
        <v>0</v>
      </c>
      <c r="CJ172" s="775"/>
      <c r="CL172" s="775"/>
      <c r="CN172" s="775">
        <f t="shared" si="623"/>
        <v>0</v>
      </c>
      <c r="CP172" s="775"/>
      <c r="CR172" s="775"/>
      <c r="CT172" s="775">
        <f t="shared" si="624"/>
        <v>0</v>
      </c>
      <c r="CV172" s="775"/>
      <c r="CX172" s="775"/>
      <c r="CZ172" s="775">
        <f t="shared" si="625"/>
        <v>0</v>
      </c>
      <c r="DB172" s="775"/>
      <c r="DD172" s="775"/>
      <c r="DF172" s="775">
        <f t="shared" si="626"/>
        <v>0</v>
      </c>
      <c r="DH172" s="775"/>
      <c r="DJ172" s="775"/>
      <c r="DL172" s="775">
        <f t="shared" si="627"/>
        <v>0</v>
      </c>
      <c r="DN172" s="775"/>
      <c r="DP172" s="775"/>
      <c r="DR172" s="775">
        <f t="shared" si="628"/>
        <v>0</v>
      </c>
      <c r="DT172" s="775"/>
      <c r="DV172" s="971">
        <v>0</v>
      </c>
      <c r="DX172" s="775"/>
      <c r="DZ172" s="775">
        <f t="shared" si="629"/>
        <v>0</v>
      </c>
      <c r="EB172" s="775"/>
      <c r="ED172" s="972"/>
      <c r="EF172" s="775"/>
      <c r="EH172" s="775">
        <f t="shared" si="630"/>
        <v>0</v>
      </c>
      <c r="EJ172" s="775"/>
      <c r="EL172" s="775"/>
      <c r="EN172" s="775">
        <f t="shared" si="631"/>
        <v>0</v>
      </c>
      <c r="EP172" s="775"/>
      <c r="ER172" s="775"/>
      <c r="ET172" s="775">
        <f t="shared" si="632"/>
        <v>0</v>
      </c>
      <c r="EV172" s="776">
        <v>205692646</v>
      </c>
      <c r="EX172" s="775"/>
      <c r="EZ172" s="775">
        <f t="shared" si="633"/>
        <v>205692646</v>
      </c>
      <c r="FB172" s="775"/>
      <c r="FD172" s="775"/>
      <c r="FF172" s="775"/>
      <c r="FH172" s="775"/>
      <c r="FJ172" s="775">
        <f t="shared" si="634"/>
        <v>0</v>
      </c>
      <c r="FL172" s="775"/>
      <c r="FN172" s="775"/>
      <c r="FP172" s="775">
        <f t="shared" si="635"/>
        <v>0</v>
      </c>
      <c r="FR172" s="775"/>
      <c r="FT172" s="775"/>
      <c r="FV172" s="775">
        <f t="shared" si="636"/>
        <v>0</v>
      </c>
      <c r="FX172" s="775"/>
      <c r="FZ172" s="775"/>
      <c r="GB172" s="775">
        <f t="shared" si="637"/>
        <v>0</v>
      </c>
      <c r="GD172" s="775"/>
      <c r="GF172" s="775"/>
      <c r="GH172" s="775">
        <v>0</v>
      </c>
      <c r="GK172" s="761">
        <f t="shared" si="638"/>
        <v>205692646</v>
      </c>
      <c r="GL172" s="973">
        <f t="shared" si="583"/>
        <v>205692.64600000001</v>
      </c>
      <c r="GM172" s="761">
        <f t="shared" si="639"/>
        <v>205692646</v>
      </c>
      <c r="GN172" s="973"/>
    </row>
    <row r="173" spans="1:196">
      <c r="A173" s="783" t="s">
        <v>1462</v>
      </c>
      <c r="J173" s="758">
        <v>142</v>
      </c>
      <c r="K173" s="775"/>
      <c r="M173" s="775"/>
      <c r="O173" s="775">
        <f t="shared" si="612"/>
        <v>0</v>
      </c>
      <c r="Q173" s="775">
        <v>47357</v>
      </c>
      <c r="S173" s="775"/>
      <c r="U173" s="775">
        <f t="shared" si="613"/>
        <v>47357</v>
      </c>
      <c r="W173" s="775"/>
      <c r="Y173" s="775"/>
      <c r="AA173" s="775">
        <f t="shared" si="614"/>
        <v>0</v>
      </c>
      <c r="AC173" s="775"/>
      <c r="AE173" s="775"/>
      <c r="AG173" s="775">
        <f t="shared" si="615"/>
        <v>0</v>
      </c>
      <c r="AI173" s="775">
        <v>14794585</v>
      </c>
      <c r="AK173" s="970">
        <v>0</v>
      </c>
      <c r="AM173" s="775"/>
      <c r="AO173" s="775">
        <f t="shared" si="616"/>
        <v>14794585</v>
      </c>
      <c r="AQ173" s="775"/>
      <c r="AS173" s="775"/>
      <c r="AU173" s="775">
        <f t="shared" si="617"/>
        <v>0</v>
      </c>
      <c r="AW173" s="775"/>
      <c r="AY173" s="775"/>
      <c r="BA173" s="775">
        <f t="shared" si="618"/>
        <v>0</v>
      </c>
      <c r="BC173" s="775"/>
      <c r="BE173" s="775"/>
      <c r="BG173" s="775">
        <f t="shared" si="619"/>
        <v>0</v>
      </c>
      <c r="BI173" s="775"/>
      <c r="BK173" s="775"/>
      <c r="BM173" s="775">
        <f t="shared" si="620"/>
        <v>0</v>
      </c>
      <c r="BO173" s="775">
        <v>108907</v>
      </c>
      <c r="BQ173" s="970"/>
      <c r="BS173" s="775"/>
      <c r="BU173" s="775">
        <f t="shared" si="621"/>
        <v>108907</v>
      </c>
      <c r="BW173" s="775"/>
      <c r="BZ173" s="970"/>
      <c r="CB173" s="775"/>
      <c r="CD173" s="970"/>
      <c r="CF173" s="775"/>
      <c r="CH173" s="775">
        <f t="shared" si="622"/>
        <v>0</v>
      </c>
      <c r="CJ173" s="775"/>
      <c r="CL173" s="775"/>
      <c r="CN173" s="775">
        <f t="shared" si="623"/>
        <v>0</v>
      </c>
      <c r="CP173" s="775">
        <v>264538</v>
      </c>
      <c r="CR173" s="775"/>
      <c r="CT173" s="775">
        <f t="shared" si="624"/>
        <v>264538</v>
      </c>
      <c r="CV173" s="775"/>
      <c r="CX173" s="775"/>
      <c r="CZ173" s="775">
        <f t="shared" si="625"/>
        <v>0</v>
      </c>
      <c r="DB173" s="775"/>
      <c r="DD173" s="775"/>
      <c r="DF173" s="775">
        <f t="shared" si="626"/>
        <v>0</v>
      </c>
      <c r="DH173" s="775"/>
      <c r="DJ173" s="775"/>
      <c r="DL173" s="775">
        <f t="shared" si="627"/>
        <v>0</v>
      </c>
      <c r="DN173" s="775"/>
      <c r="DP173" s="775"/>
      <c r="DR173" s="775">
        <f t="shared" si="628"/>
        <v>0</v>
      </c>
      <c r="DT173" s="775"/>
      <c r="DV173" s="971">
        <v>0</v>
      </c>
      <c r="DX173" s="775"/>
      <c r="DZ173" s="775">
        <f t="shared" si="629"/>
        <v>0</v>
      </c>
      <c r="EB173" s="775">
        <v>1843256</v>
      </c>
      <c r="ED173" s="972"/>
      <c r="EF173" s="775"/>
      <c r="EH173" s="775">
        <f t="shared" si="630"/>
        <v>1843256</v>
      </c>
      <c r="EJ173" s="775">
        <v>1010860</v>
      </c>
      <c r="EL173" s="775"/>
      <c r="EN173" s="775">
        <f t="shared" si="631"/>
        <v>1010860</v>
      </c>
      <c r="EP173" s="775">
        <v>950085</v>
      </c>
      <c r="ER173" s="775"/>
      <c r="ET173" s="775">
        <f t="shared" si="632"/>
        <v>950085</v>
      </c>
      <c r="EV173" s="775">
        <v>4350088763</v>
      </c>
      <c r="EX173" s="775"/>
      <c r="EZ173" s="775">
        <f t="shared" si="633"/>
        <v>4350088763</v>
      </c>
      <c r="FB173" s="775"/>
      <c r="FD173" s="775"/>
      <c r="FF173" s="775"/>
      <c r="FH173" s="775"/>
      <c r="FJ173" s="775">
        <f t="shared" si="634"/>
        <v>0</v>
      </c>
      <c r="FL173" s="775">
        <v>7764</v>
      </c>
      <c r="FN173" s="775"/>
      <c r="FP173" s="775">
        <f t="shared" si="635"/>
        <v>7764</v>
      </c>
      <c r="FR173" s="775">
        <v>3342252</v>
      </c>
      <c r="FT173" s="775"/>
      <c r="FV173" s="775">
        <f t="shared" si="636"/>
        <v>3342252</v>
      </c>
      <c r="FX173" s="775"/>
      <c r="FZ173" s="775"/>
      <c r="GB173" s="775">
        <f t="shared" si="637"/>
        <v>0</v>
      </c>
      <c r="GD173" s="775"/>
      <c r="GF173" s="775"/>
      <c r="GH173" s="775">
        <v>0</v>
      </c>
      <c r="GK173" s="761">
        <f t="shared" si="638"/>
        <v>4372458367</v>
      </c>
      <c r="GL173" s="973">
        <f t="shared" si="583"/>
        <v>4372458.3669999996</v>
      </c>
      <c r="GM173" s="761">
        <f t="shared" si="639"/>
        <v>4372458367</v>
      </c>
      <c r="GN173" s="973"/>
    </row>
    <row r="174" spans="1:196">
      <c r="A174" s="782" t="s">
        <v>1728</v>
      </c>
      <c r="I174" s="758" t="s">
        <v>1726</v>
      </c>
      <c r="J174" s="770">
        <v>143</v>
      </c>
      <c r="K174" s="775"/>
      <c r="M174" s="775"/>
      <c r="O174" s="775">
        <f t="shared" si="612"/>
        <v>0</v>
      </c>
      <c r="Q174" s="775"/>
      <c r="S174" s="775"/>
      <c r="U174" s="775">
        <f t="shared" si="613"/>
        <v>0</v>
      </c>
      <c r="W174" s="775"/>
      <c r="Y174" s="775"/>
      <c r="AA174" s="775">
        <f t="shared" si="614"/>
        <v>0</v>
      </c>
      <c r="AC174" s="775"/>
      <c r="AE174" s="775"/>
      <c r="AG174" s="775">
        <f t="shared" si="615"/>
        <v>0</v>
      </c>
      <c r="AI174" s="775"/>
      <c r="AK174" s="970">
        <v>0</v>
      </c>
      <c r="AM174" s="775"/>
      <c r="AO174" s="775">
        <f t="shared" si="616"/>
        <v>0</v>
      </c>
      <c r="AQ174" s="775"/>
      <c r="AS174" s="775"/>
      <c r="AU174" s="775">
        <f t="shared" si="617"/>
        <v>0</v>
      </c>
      <c r="AW174" s="775"/>
      <c r="AY174" s="775"/>
      <c r="BA174" s="775">
        <f t="shared" si="618"/>
        <v>0</v>
      </c>
      <c r="BC174" s="775"/>
      <c r="BE174" s="775"/>
      <c r="BG174" s="775">
        <f t="shared" si="619"/>
        <v>0</v>
      </c>
      <c r="BI174" s="775"/>
      <c r="BK174" s="775"/>
      <c r="BM174" s="775">
        <f t="shared" si="620"/>
        <v>0</v>
      </c>
      <c r="BO174" s="775"/>
      <c r="BQ174" s="970"/>
      <c r="BS174" s="775"/>
      <c r="BU174" s="775">
        <f t="shared" si="621"/>
        <v>0</v>
      </c>
      <c r="BW174" s="775"/>
      <c r="BZ174" s="970"/>
      <c r="CB174" s="775"/>
      <c r="CD174" s="970"/>
      <c r="CF174" s="775"/>
      <c r="CH174" s="775">
        <f t="shared" si="622"/>
        <v>0</v>
      </c>
      <c r="CJ174" s="775"/>
      <c r="CL174" s="775"/>
      <c r="CN174" s="775">
        <f t="shared" si="623"/>
        <v>0</v>
      </c>
      <c r="CP174" s="775"/>
      <c r="CR174" s="775"/>
      <c r="CT174" s="775">
        <f t="shared" si="624"/>
        <v>0</v>
      </c>
      <c r="CV174" s="775"/>
      <c r="CX174" s="775"/>
      <c r="CZ174" s="775">
        <f t="shared" si="625"/>
        <v>0</v>
      </c>
      <c r="DB174" s="775"/>
      <c r="DD174" s="775"/>
      <c r="DF174" s="775">
        <f t="shared" si="626"/>
        <v>0</v>
      </c>
      <c r="DH174" s="775"/>
      <c r="DJ174" s="775"/>
      <c r="DL174" s="775">
        <f t="shared" si="627"/>
        <v>0</v>
      </c>
      <c r="DN174" s="775"/>
      <c r="DP174" s="775"/>
      <c r="DR174" s="775">
        <f t="shared" si="628"/>
        <v>0</v>
      </c>
      <c r="DT174" s="775"/>
      <c r="DV174" s="971">
        <v>0</v>
      </c>
      <c r="DX174" s="775"/>
      <c r="DZ174" s="775">
        <f t="shared" si="629"/>
        <v>0</v>
      </c>
      <c r="EB174" s="775"/>
      <c r="ED174" s="972"/>
      <c r="EF174" s="775"/>
      <c r="EH174" s="775">
        <f t="shared" si="630"/>
        <v>0</v>
      </c>
      <c r="EJ174" s="775"/>
      <c r="EL174" s="775"/>
      <c r="EN174" s="775">
        <f t="shared" si="631"/>
        <v>0</v>
      </c>
      <c r="EP174" s="775"/>
      <c r="ER174" s="775"/>
      <c r="ET174" s="775">
        <f t="shared" si="632"/>
        <v>0</v>
      </c>
      <c r="EV174" s="775"/>
      <c r="EX174" s="775"/>
      <c r="EZ174" s="775">
        <f t="shared" si="633"/>
        <v>0</v>
      </c>
      <c r="FB174" s="775"/>
      <c r="FD174" s="775"/>
      <c r="FF174" s="775"/>
      <c r="FH174" s="775"/>
      <c r="FJ174" s="775">
        <f t="shared" si="634"/>
        <v>0</v>
      </c>
      <c r="FL174" s="775"/>
      <c r="FN174" s="775"/>
      <c r="FP174" s="775">
        <f t="shared" si="635"/>
        <v>0</v>
      </c>
      <c r="FR174" s="775"/>
      <c r="FT174" s="775"/>
      <c r="FV174" s="775">
        <f t="shared" si="636"/>
        <v>0</v>
      </c>
      <c r="FX174" s="775"/>
      <c r="FZ174" s="775"/>
      <c r="GB174" s="775">
        <f t="shared" si="637"/>
        <v>0</v>
      </c>
      <c r="GD174" s="775"/>
      <c r="GF174" s="775"/>
      <c r="GH174" s="775">
        <v>0</v>
      </c>
      <c r="GK174" s="761">
        <f t="shared" si="638"/>
        <v>0</v>
      </c>
      <c r="GL174" s="973">
        <f t="shared" si="583"/>
        <v>0</v>
      </c>
      <c r="GM174" s="761">
        <f t="shared" si="639"/>
        <v>0</v>
      </c>
      <c r="GN174" s="973"/>
    </row>
    <row r="175" spans="1:196">
      <c r="A175" s="782" t="s">
        <v>1729</v>
      </c>
      <c r="I175" s="770" t="s">
        <v>1724</v>
      </c>
      <c r="J175" s="758">
        <v>144</v>
      </c>
      <c r="K175" s="775"/>
      <c r="M175" s="775"/>
      <c r="O175" s="775">
        <f t="shared" si="612"/>
        <v>0</v>
      </c>
      <c r="Q175" s="775"/>
      <c r="S175" s="775"/>
      <c r="U175" s="775">
        <f t="shared" si="613"/>
        <v>0</v>
      </c>
      <c r="W175" s="775"/>
      <c r="Y175" s="775"/>
      <c r="AA175" s="775">
        <f t="shared" si="614"/>
        <v>0</v>
      </c>
      <c r="AC175" s="775"/>
      <c r="AE175" s="775"/>
      <c r="AG175" s="775">
        <f t="shared" si="615"/>
        <v>0</v>
      </c>
      <c r="AI175" s="775"/>
      <c r="AK175" s="970">
        <v>0</v>
      </c>
      <c r="AM175" s="775"/>
      <c r="AO175" s="775">
        <f t="shared" si="616"/>
        <v>0</v>
      </c>
      <c r="AQ175" s="775"/>
      <c r="AS175" s="775"/>
      <c r="AU175" s="775">
        <f t="shared" si="617"/>
        <v>0</v>
      </c>
      <c r="AW175" s="775"/>
      <c r="AY175" s="775"/>
      <c r="BA175" s="775">
        <f t="shared" si="618"/>
        <v>0</v>
      </c>
      <c r="BC175" s="775"/>
      <c r="BE175" s="775"/>
      <c r="BG175" s="775">
        <f t="shared" si="619"/>
        <v>0</v>
      </c>
      <c r="BI175" s="775"/>
      <c r="BK175" s="775"/>
      <c r="BM175" s="775">
        <f t="shared" si="620"/>
        <v>0</v>
      </c>
      <c r="BO175" s="775"/>
      <c r="BQ175" s="970"/>
      <c r="BS175" s="775"/>
      <c r="BU175" s="775">
        <f t="shared" si="621"/>
        <v>0</v>
      </c>
      <c r="BW175" s="775"/>
      <c r="BZ175" s="970"/>
      <c r="CB175" s="775"/>
      <c r="CD175" s="970"/>
      <c r="CF175" s="775"/>
      <c r="CH175" s="775">
        <f t="shared" si="622"/>
        <v>0</v>
      </c>
      <c r="CJ175" s="775"/>
      <c r="CL175" s="775"/>
      <c r="CN175" s="775">
        <f t="shared" si="623"/>
        <v>0</v>
      </c>
      <c r="CP175" s="775"/>
      <c r="CR175" s="775"/>
      <c r="CT175" s="775">
        <f t="shared" si="624"/>
        <v>0</v>
      </c>
      <c r="CV175" s="775"/>
      <c r="CX175" s="775"/>
      <c r="CZ175" s="775">
        <f t="shared" si="625"/>
        <v>0</v>
      </c>
      <c r="DB175" s="775"/>
      <c r="DD175" s="775"/>
      <c r="DF175" s="775">
        <f t="shared" si="626"/>
        <v>0</v>
      </c>
      <c r="DH175" s="775"/>
      <c r="DJ175" s="775"/>
      <c r="DL175" s="775">
        <f t="shared" si="627"/>
        <v>0</v>
      </c>
      <c r="DN175" s="775"/>
      <c r="DP175" s="775"/>
      <c r="DR175" s="775">
        <f t="shared" si="628"/>
        <v>0</v>
      </c>
      <c r="DT175" s="775"/>
      <c r="DV175" s="971">
        <v>0</v>
      </c>
      <c r="DX175" s="775"/>
      <c r="DZ175" s="775">
        <f t="shared" si="629"/>
        <v>0</v>
      </c>
      <c r="EB175" s="775"/>
      <c r="ED175" s="972"/>
      <c r="EF175" s="775"/>
      <c r="EH175" s="775">
        <f t="shared" si="630"/>
        <v>0</v>
      </c>
      <c r="EJ175" s="775"/>
      <c r="EL175" s="775"/>
      <c r="EN175" s="775">
        <f t="shared" si="631"/>
        <v>0</v>
      </c>
      <c r="EP175" s="775"/>
      <c r="ER175" s="775"/>
      <c r="ET175" s="775">
        <f t="shared" si="632"/>
        <v>0</v>
      </c>
      <c r="EV175" s="775"/>
      <c r="EX175" s="775"/>
      <c r="EZ175" s="775">
        <f t="shared" si="633"/>
        <v>0</v>
      </c>
      <c r="FB175" s="775"/>
      <c r="FD175" s="775"/>
      <c r="FF175" s="775"/>
      <c r="FH175" s="775"/>
      <c r="FJ175" s="775">
        <f t="shared" si="634"/>
        <v>0</v>
      </c>
      <c r="FL175" s="775"/>
      <c r="FN175" s="775"/>
      <c r="FP175" s="775">
        <f t="shared" si="635"/>
        <v>0</v>
      </c>
      <c r="FR175" s="775"/>
      <c r="FT175" s="775"/>
      <c r="FV175" s="775">
        <f t="shared" si="636"/>
        <v>0</v>
      </c>
      <c r="FX175" s="775"/>
      <c r="FZ175" s="775"/>
      <c r="GB175" s="775">
        <f t="shared" si="637"/>
        <v>0</v>
      </c>
      <c r="GD175" s="775"/>
      <c r="GF175" s="775"/>
      <c r="GH175" s="775">
        <v>0</v>
      </c>
      <c r="GK175" s="761">
        <f t="shared" si="638"/>
        <v>0</v>
      </c>
      <c r="GL175" s="973">
        <f t="shared" si="583"/>
        <v>0</v>
      </c>
      <c r="GM175" s="761">
        <f t="shared" si="639"/>
        <v>0</v>
      </c>
      <c r="GN175" s="973"/>
    </row>
    <row r="176" spans="1:196">
      <c r="A176" s="782" t="s">
        <v>1463</v>
      </c>
      <c r="I176" s="758" t="s">
        <v>1461</v>
      </c>
      <c r="J176" s="770">
        <v>145</v>
      </c>
      <c r="K176" s="775"/>
      <c r="M176" s="775"/>
      <c r="O176" s="775">
        <f t="shared" si="612"/>
        <v>0</v>
      </c>
      <c r="Q176" s="775"/>
      <c r="S176" s="775"/>
      <c r="U176" s="775">
        <f t="shared" si="613"/>
        <v>0</v>
      </c>
      <c r="W176" s="775"/>
      <c r="Y176" s="775"/>
      <c r="AA176" s="775">
        <f t="shared" si="614"/>
        <v>0</v>
      </c>
      <c r="AC176" s="775"/>
      <c r="AE176" s="775"/>
      <c r="AG176" s="775">
        <f t="shared" si="615"/>
        <v>0</v>
      </c>
      <c r="AI176" s="775"/>
      <c r="AK176" s="970">
        <v>0</v>
      </c>
      <c r="AM176" s="775"/>
      <c r="AO176" s="775">
        <f t="shared" si="616"/>
        <v>0</v>
      </c>
      <c r="AQ176" s="775"/>
      <c r="AS176" s="775"/>
      <c r="AU176" s="775">
        <f t="shared" si="617"/>
        <v>0</v>
      </c>
      <c r="AW176" s="775"/>
      <c r="AY176" s="775"/>
      <c r="BA176" s="775">
        <f t="shared" si="618"/>
        <v>0</v>
      </c>
      <c r="BC176" s="775"/>
      <c r="BE176" s="775"/>
      <c r="BG176" s="775">
        <f t="shared" si="619"/>
        <v>0</v>
      </c>
      <c r="BI176" s="775"/>
      <c r="BK176" s="775"/>
      <c r="BM176" s="775">
        <f t="shared" si="620"/>
        <v>0</v>
      </c>
      <c r="BO176" s="775"/>
      <c r="BQ176" s="970"/>
      <c r="BS176" s="775"/>
      <c r="BU176" s="775">
        <f t="shared" si="621"/>
        <v>0</v>
      </c>
      <c r="BW176" s="775"/>
      <c r="BZ176" s="970"/>
      <c r="CB176" s="775"/>
      <c r="CD176" s="970"/>
      <c r="CF176" s="775"/>
      <c r="CH176" s="775">
        <f t="shared" si="622"/>
        <v>0</v>
      </c>
      <c r="CJ176" s="775"/>
      <c r="CL176" s="775"/>
      <c r="CN176" s="775">
        <f t="shared" si="623"/>
        <v>0</v>
      </c>
      <c r="CP176" s="775"/>
      <c r="CR176" s="775"/>
      <c r="CT176" s="775">
        <f t="shared" si="624"/>
        <v>0</v>
      </c>
      <c r="CV176" s="775"/>
      <c r="CX176" s="775"/>
      <c r="CZ176" s="775">
        <f t="shared" si="625"/>
        <v>0</v>
      </c>
      <c r="DB176" s="775"/>
      <c r="DD176" s="775"/>
      <c r="DF176" s="775">
        <f t="shared" si="626"/>
        <v>0</v>
      </c>
      <c r="DH176" s="775"/>
      <c r="DJ176" s="775"/>
      <c r="DL176" s="775">
        <f t="shared" si="627"/>
        <v>0</v>
      </c>
      <c r="DN176" s="775"/>
      <c r="DP176" s="775"/>
      <c r="DR176" s="775">
        <f t="shared" si="628"/>
        <v>0</v>
      </c>
      <c r="DT176" s="775"/>
      <c r="DV176" s="971">
        <v>0</v>
      </c>
      <c r="DX176" s="775"/>
      <c r="DZ176" s="775">
        <f t="shared" si="629"/>
        <v>0</v>
      </c>
      <c r="EB176" s="775">
        <v>120013</v>
      </c>
      <c r="ED176" s="972"/>
      <c r="EF176" s="775"/>
      <c r="EH176" s="775">
        <f t="shared" si="630"/>
        <v>120013</v>
      </c>
      <c r="EJ176" s="775"/>
      <c r="EL176" s="775"/>
      <c r="EN176" s="775">
        <f t="shared" si="631"/>
        <v>0</v>
      </c>
      <c r="EP176" s="775"/>
      <c r="ER176" s="775">
        <v>11312423</v>
      </c>
      <c r="ET176" s="775">
        <f t="shared" si="632"/>
        <v>11312423</v>
      </c>
      <c r="EV176" s="775">
        <v>1467141</v>
      </c>
      <c r="EX176" s="775"/>
      <c r="EZ176" s="775">
        <f t="shared" si="633"/>
        <v>1467141</v>
      </c>
      <c r="FB176" s="775"/>
      <c r="FD176" s="775"/>
      <c r="FF176" s="775"/>
      <c r="FH176" s="775"/>
      <c r="FJ176" s="775">
        <f t="shared" si="634"/>
        <v>0</v>
      </c>
      <c r="FL176" s="775"/>
      <c r="FN176" s="775"/>
      <c r="FP176" s="775">
        <f t="shared" si="635"/>
        <v>0</v>
      </c>
      <c r="FR176" s="775"/>
      <c r="FT176" s="775"/>
      <c r="FV176" s="775">
        <f t="shared" si="636"/>
        <v>0</v>
      </c>
      <c r="FX176" s="775"/>
      <c r="FZ176" s="775"/>
      <c r="GB176" s="775">
        <f t="shared" si="637"/>
        <v>0</v>
      </c>
      <c r="GD176" s="775"/>
      <c r="GF176" s="775"/>
      <c r="GH176" s="775">
        <v>0</v>
      </c>
      <c r="GK176" s="761">
        <f t="shared" si="638"/>
        <v>12899577</v>
      </c>
      <c r="GL176" s="973">
        <f t="shared" si="583"/>
        <v>12899.576999999999</v>
      </c>
      <c r="GM176" s="761">
        <f t="shared" si="639"/>
        <v>12899577</v>
      </c>
      <c r="GN176" s="973"/>
    </row>
    <row r="177" spans="1:196">
      <c r="A177" s="782" t="s">
        <v>131</v>
      </c>
      <c r="I177" s="771"/>
      <c r="J177" s="758">
        <v>146</v>
      </c>
      <c r="K177" s="775"/>
      <c r="M177" s="775"/>
      <c r="O177" s="775">
        <f t="shared" si="612"/>
        <v>0</v>
      </c>
      <c r="Q177" s="775"/>
      <c r="S177" s="775"/>
      <c r="U177" s="775">
        <f t="shared" si="613"/>
        <v>0</v>
      </c>
      <c r="W177" s="775"/>
      <c r="Y177" s="775"/>
      <c r="AA177" s="775">
        <f t="shared" si="614"/>
        <v>0</v>
      </c>
      <c r="AC177" s="775"/>
      <c r="AE177" s="775"/>
      <c r="AG177" s="775">
        <f t="shared" si="615"/>
        <v>0</v>
      </c>
      <c r="AI177" s="775"/>
      <c r="AK177" s="970">
        <v>0</v>
      </c>
      <c r="AM177" s="775"/>
      <c r="AO177" s="775">
        <f t="shared" si="616"/>
        <v>0</v>
      </c>
      <c r="AQ177" s="775"/>
      <c r="AS177" s="775"/>
      <c r="AU177" s="775">
        <f t="shared" si="617"/>
        <v>0</v>
      </c>
      <c r="AW177" s="775"/>
      <c r="AY177" s="775"/>
      <c r="BA177" s="775">
        <f t="shared" si="618"/>
        <v>0</v>
      </c>
      <c r="BC177" s="775"/>
      <c r="BE177" s="775"/>
      <c r="BG177" s="775">
        <f t="shared" si="619"/>
        <v>0</v>
      </c>
      <c r="BI177" s="775"/>
      <c r="BK177" s="775"/>
      <c r="BM177" s="775">
        <f t="shared" si="620"/>
        <v>0</v>
      </c>
      <c r="BO177" s="775"/>
      <c r="BQ177" s="970"/>
      <c r="BS177" s="775"/>
      <c r="BU177" s="775">
        <f t="shared" si="621"/>
        <v>0</v>
      </c>
      <c r="BW177" s="775"/>
      <c r="BZ177" s="970"/>
      <c r="CB177" s="775"/>
      <c r="CD177" s="970"/>
      <c r="CF177" s="775"/>
      <c r="CH177" s="775">
        <f t="shared" si="622"/>
        <v>0</v>
      </c>
      <c r="CJ177" s="775"/>
      <c r="CL177" s="775"/>
      <c r="CN177" s="775">
        <f t="shared" si="623"/>
        <v>0</v>
      </c>
      <c r="CP177" s="775"/>
      <c r="CR177" s="775"/>
      <c r="CT177" s="775">
        <f t="shared" si="624"/>
        <v>0</v>
      </c>
      <c r="CV177" s="775"/>
      <c r="CX177" s="775"/>
      <c r="CZ177" s="775">
        <f t="shared" si="625"/>
        <v>0</v>
      </c>
      <c r="DB177" s="775"/>
      <c r="DD177" s="775"/>
      <c r="DF177" s="775">
        <f t="shared" si="626"/>
        <v>0</v>
      </c>
      <c r="DH177" s="775"/>
      <c r="DJ177" s="775"/>
      <c r="DL177" s="775">
        <f t="shared" si="627"/>
        <v>0</v>
      </c>
      <c r="DN177" s="775"/>
      <c r="DP177" s="775"/>
      <c r="DR177" s="775">
        <f t="shared" si="628"/>
        <v>0</v>
      </c>
      <c r="DT177" s="775"/>
      <c r="DV177" s="971">
        <v>0</v>
      </c>
      <c r="DX177" s="775"/>
      <c r="DZ177" s="775">
        <f t="shared" si="629"/>
        <v>0</v>
      </c>
      <c r="EB177" s="775"/>
      <c r="ED177" s="972"/>
      <c r="EF177" s="775"/>
      <c r="EH177" s="775">
        <f t="shared" si="630"/>
        <v>0</v>
      </c>
      <c r="EJ177" s="775"/>
      <c r="EL177" s="775"/>
      <c r="EN177" s="775">
        <f t="shared" si="631"/>
        <v>0</v>
      </c>
      <c r="EP177" s="775"/>
      <c r="ER177" s="775"/>
      <c r="ET177" s="775">
        <f t="shared" si="632"/>
        <v>0</v>
      </c>
      <c r="EV177" s="775"/>
      <c r="EX177" s="775"/>
      <c r="EZ177" s="775">
        <f t="shared" si="633"/>
        <v>0</v>
      </c>
      <c r="FB177" s="775"/>
      <c r="FD177" s="775"/>
      <c r="FF177" s="775">
        <v>130780000</v>
      </c>
      <c r="FH177" s="775"/>
      <c r="FJ177" s="775">
        <f t="shared" si="634"/>
        <v>130780000</v>
      </c>
      <c r="FL177" s="775"/>
      <c r="FN177" s="775"/>
      <c r="FP177" s="775">
        <f t="shared" si="635"/>
        <v>0</v>
      </c>
      <c r="FR177" s="775"/>
      <c r="FT177" s="775"/>
      <c r="FV177" s="775">
        <f t="shared" si="636"/>
        <v>0</v>
      </c>
      <c r="FX177" s="775">
        <v>2193220</v>
      </c>
      <c r="FZ177" s="775"/>
      <c r="GB177" s="775">
        <f t="shared" si="637"/>
        <v>2193220</v>
      </c>
      <c r="GD177" s="775"/>
      <c r="GF177" s="775"/>
      <c r="GH177" s="775">
        <v>0</v>
      </c>
      <c r="GK177" s="761">
        <f t="shared" si="638"/>
        <v>132973220</v>
      </c>
      <c r="GL177" s="973">
        <f t="shared" si="583"/>
        <v>132973.22</v>
      </c>
      <c r="GM177" s="761">
        <f t="shared" si="639"/>
        <v>130780000</v>
      </c>
      <c r="GN177" s="973"/>
    </row>
    <row r="178" spans="1:196" ht="10.5" customHeight="1">
      <c r="A178" s="782" t="s">
        <v>132</v>
      </c>
      <c r="J178" s="770">
        <v>147</v>
      </c>
      <c r="K178" s="775"/>
      <c r="M178" s="775"/>
      <c r="O178" s="775">
        <f t="shared" si="612"/>
        <v>0</v>
      </c>
      <c r="Q178" s="775">
        <v>106762</v>
      </c>
      <c r="S178" s="775"/>
      <c r="U178" s="775">
        <f t="shared" si="613"/>
        <v>106762</v>
      </c>
      <c r="W178" s="775">
        <v>178479</v>
      </c>
      <c r="Y178" s="775"/>
      <c r="AA178" s="775">
        <f t="shared" si="614"/>
        <v>178479</v>
      </c>
      <c r="AC178" s="775"/>
      <c r="AE178" s="775"/>
      <c r="AG178" s="775">
        <f t="shared" si="615"/>
        <v>0</v>
      </c>
      <c r="AI178" s="775">
        <v>506712</v>
      </c>
      <c r="AK178" s="970">
        <v>0</v>
      </c>
      <c r="AM178" s="775"/>
      <c r="AO178" s="775">
        <f t="shared" si="616"/>
        <v>506712</v>
      </c>
      <c r="AQ178" s="775"/>
      <c r="AS178" s="775"/>
      <c r="AU178" s="775">
        <f t="shared" si="617"/>
        <v>0</v>
      </c>
      <c r="AW178" s="775"/>
      <c r="AY178" s="775"/>
      <c r="BA178" s="775">
        <f t="shared" si="618"/>
        <v>0</v>
      </c>
      <c r="BC178" s="775">
        <v>201558</v>
      </c>
      <c r="BE178" s="775"/>
      <c r="BG178" s="775">
        <f t="shared" si="619"/>
        <v>201558</v>
      </c>
      <c r="BI178" s="775">
        <v>95270</v>
      </c>
      <c r="BK178" s="775"/>
      <c r="BM178" s="775">
        <f t="shared" si="620"/>
        <v>95270</v>
      </c>
      <c r="BO178" s="775"/>
      <c r="BQ178" s="970"/>
      <c r="BS178" s="775"/>
      <c r="BU178" s="775">
        <f t="shared" si="621"/>
        <v>0</v>
      </c>
      <c r="BW178" s="775"/>
      <c r="BZ178" s="970"/>
      <c r="CB178" s="775"/>
      <c r="CD178" s="970"/>
      <c r="CF178" s="775"/>
      <c r="CH178" s="775">
        <f t="shared" si="622"/>
        <v>0</v>
      </c>
      <c r="CJ178" s="775"/>
      <c r="CL178" s="775"/>
      <c r="CN178" s="775">
        <f t="shared" si="623"/>
        <v>0</v>
      </c>
      <c r="CP178" s="775">
        <v>343950</v>
      </c>
      <c r="CR178" s="775"/>
      <c r="CT178" s="775">
        <f t="shared" si="624"/>
        <v>343950</v>
      </c>
      <c r="CV178" s="775"/>
      <c r="CX178" s="775"/>
      <c r="CZ178" s="775">
        <f t="shared" si="625"/>
        <v>0</v>
      </c>
      <c r="DB178" s="775">
        <v>1484000</v>
      </c>
      <c r="DD178" s="775"/>
      <c r="DF178" s="775">
        <f t="shared" si="626"/>
        <v>1484000</v>
      </c>
      <c r="DH178" s="775"/>
      <c r="DJ178" s="775"/>
      <c r="DL178" s="775">
        <f t="shared" si="627"/>
        <v>0</v>
      </c>
      <c r="DN178" s="775"/>
      <c r="DP178" s="775"/>
      <c r="DR178" s="775">
        <f t="shared" si="628"/>
        <v>0</v>
      </c>
      <c r="DT178" s="775"/>
      <c r="DV178" s="971">
        <v>0</v>
      </c>
      <c r="DX178" s="775"/>
      <c r="DZ178" s="775">
        <f t="shared" si="629"/>
        <v>0</v>
      </c>
      <c r="EB178" s="775"/>
      <c r="ED178" s="972">
        <v>0</v>
      </c>
      <c r="EF178" s="775"/>
      <c r="EH178" s="775">
        <f t="shared" si="630"/>
        <v>0</v>
      </c>
      <c r="EJ178" s="775"/>
      <c r="EL178" s="775"/>
      <c r="EN178" s="775">
        <f t="shared" si="631"/>
        <v>0</v>
      </c>
      <c r="EP178" s="775">
        <v>6665265</v>
      </c>
      <c r="ER178" s="775"/>
      <c r="ET178" s="775">
        <f t="shared" si="632"/>
        <v>6665265</v>
      </c>
      <c r="EV178" s="775"/>
      <c r="EX178" s="775"/>
      <c r="EZ178" s="775">
        <f t="shared" si="633"/>
        <v>0</v>
      </c>
      <c r="FB178" s="775"/>
      <c r="FD178" s="775"/>
      <c r="FF178" s="775"/>
      <c r="FH178" s="775"/>
      <c r="FJ178" s="775">
        <f t="shared" si="634"/>
        <v>0</v>
      </c>
      <c r="FL178" s="775">
        <v>259425</v>
      </c>
      <c r="FN178" s="775"/>
      <c r="FP178" s="775">
        <f t="shared" si="635"/>
        <v>259425</v>
      </c>
      <c r="FR178" s="775">
        <v>450792</v>
      </c>
      <c r="FT178" s="775"/>
      <c r="FV178" s="775">
        <f t="shared" si="636"/>
        <v>450792</v>
      </c>
      <c r="FX178" s="775"/>
      <c r="FZ178" s="775"/>
      <c r="GB178" s="775">
        <f t="shared" si="637"/>
        <v>0</v>
      </c>
      <c r="GD178" s="775"/>
      <c r="GF178" s="775"/>
      <c r="GH178" s="775">
        <v>0</v>
      </c>
      <c r="GK178" s="761">
        <f t="shared" si="638"/>
        <v>10292213</v>
      </c>
      <c r="GL178" s="973">
        <f t="shared" si="583"/>
        <v>10292.213</v>
      </c>
      <c r="GM178" s="761">
        <f t="shared" si="639"/>
        <v>10292213</v>
      </c>
      <c r="GN178" s="973"/>
    </row>
    <row r="179" spans="1:196">
      <c r="A179" s="782" t="s">
        <v>133</v>
      </c>
      <c r="J179" s="758">
        <v>148</v>
      </c>
      <c r="K179" s="775"/>
      <c r="M179" s="775"/>
      <c r="O179" s="775">
        <f t="shared" si="612"/>
        <v>0</v>
      </c>
      <c r="Q179" s="775"/>
      <c r="S179" s="775"/>
      <c r="U179" s="775">
        <f t="shared" si="613"/>
        <v>0</v>
      </c>
      <c r="W179" s="775"/>
      <c r="Y179" s="775"/>
      <c r="AA179" s="775">
        <f t="shared" si="614"/>
        <v>0</v>
      </c>
      <c r="AC179" s="775"/>
      <c r="AE179" s="775"/>
      <c r="AG179" s="775">
        <f t="shared" si="615"/>
        <v>0</v>
      </c>
      <c r="AI179" s="775">
        <v>13177756</v>
      </c>
      <c r="AK179" s="970">
        <v>0</v>
      </c>
      <c r="AM179" s="775"/>
      <c r="AO179" s="775">
        <f t="shared" si="616"/>
        <v>13177756</v>
      </c>
      <c r="AQ179" s="775"/>
      <c r="AS179" s="775"/>
      <c r="AU179" s="775">
        <f t="shared" si="617"/>
        <v>0</v>
      </c>
      <c r="AW179" s="775"/>
      <c r="AY179" s="775"/>
      <c r="BA179" s="775">
        <f t="shared" si="618"/>
        <v>0</v>
      </c>
      <c r="BC179" s="775">
        <v>5747455</v>
      </c>
      <c r="BE179" s="775"/>
      <c r="BG179" s="775">
        <f t="shared" si="619"/>
        <v>5747455</v>
      </c>
      <c r="BI179" s="775"/>
      <c r="BK179" s="775"/>
      <c r="BM179" s="775">
        <f t="shared" si="620"/>
        <v>0</v>
      </c>
      <c r="BO179" s="775"/>
      <c r="BQ179" s="970"/>
      <c r="BS179" s="775"/>
      <c r="BU179" s="775">
        <f t="shared" si="621"/>
        <v>0</v>
      </c>
      <c r="BW179" s="775">
        <v>1640639</v>
      </c>
      <c r="BZ179" s="970"/>
      <c r="CB179" s="775"/>
      <c r="CD179" s="970"/>
      <c r="CF179" s="775"/>
      <c r="CH179" s="775">
        <f t="shared" si="622"/>
        <v>1640639</v>
      </c>
      <c r="CJ179" s="775"/>
      <c r="CL179" s="775"/>
      <c r="CN179" s="775">
        <f t="shared" si="623"/>
        <v>0</v>
      </c>
      <c r="CP179" s="775"/>
      <c r="CR179" s="775"/>
      <c r="CT179" s="775">
        <f t="shared" si="624"/>
        <v>0</v>
      </c>
      <c r="CV179" s="775"/>
      <c r="CX179" s="775"/>
      <c r="CZ179" s="775">
        <f t="shared" si="625"/>
        <v>0</v>
      </c>
      <c r="DB179" s="775">
        <v>18337000</v>
      </c>
      <c r="DD179" s="775"/>
      <c r="DF179" s="775">
        <f t="shared" si="626"/>
        <v>18337000</v>
      </c>
      <c r="DH179" s="775"/>
      <c r="DJ179" s="775"/>
      <c r="DL179" s="775">
        <f t="shared" si="627"/>
        <v>0</v>
      </c>
      <c r="DN179" s="775"/>
      <c r="DP179" s="775"/>
      <c r="DR179" s="775">
        <f t="shared" si="628"/>
        <v>0</v>
      </c>
      <c r="DT179" s="775"/>
      <c r="DV179" s="971">
        <v>0</v>
      </c>
      <c r="DX179" s="775"/>
      <c r="DZ179" s="775">
        <f t="shared" si="629"/>
        <v>0</v>
      </c>
      <c r="EB179" s="775"/>
      <c r="ED179" s="972">
        <v>0</v>
      </c>
      <c r="EF179" s="775"/>
      <c r="EH179" s="775">
        <f t="shared" si="630"/>
        <v>0</v>
      </c>
      <c r="EJ179" s="775"/>
      <c r="EL179" s="775"/>
      <c r="EN179" s="775">
        <f t="shared" si="631"/>
        <v>0</v>
      </c>
      <c r="EP179" s="775"/>
      <c r="ER179" s="775"/>
      <c r="ET179" s="775">
        <f t="shared" si="632"/>
        <v>0</v>
      </c>
      <c r="EV179" s="775">
        <v>11687000</v>
      </c>
      <c r="EX179" s="775"/>
      <c r="EZ179" s="775">
        <f t="shared" si="633"/>
        <v>11687000</v>
      </c>
      <c r="FB179" s="775"/>
      <c r="FD179" s="775"/>
      <c r="FF179" s="775"/>
      <c r="FH179" s="775"/>
      <c r="FJ179" s="775">
        <f t="shared" si="634"/>
        <v>0</v>
      </c>
      <c r="FL179" s="775"/>
      <c r="FN179" s="775"/>
      <c r="FP179" s="775">
        <f t="shared" si="635"/>
        <v>0</v>
      </c>
      <c r="FR179" s="775">
        <v>2266033</v>
      </c>
      <c r="FT179" s="775"/>
      <c r="FV179" s="775">
        <f t="shared" si="636"/>
        <v>2266033</v>
      </c>
      <c r="FX179" s="775"/>
      <c r="FZ179" s="775"/>
      <c r="GB179" s="775">
        <f t="shared" si="637"/>
        <v>0</v>
      </c>
      <c r="GD179" s="775"/>
      <c r="GF179" s="775"/>
      <c r="GH179" s="775">
        <v>0</v>
      </c>
      <c r="GK179" s="761">
        <f t="shared" si="638"/>
        <v>52855883</v>
      </c>
      <c r="GL179" s="973">
        <f t="shared" si="583"/>
        <v>52855.883000000002</v>
      </c>
      <c r="GM179" s="761">
        <f t="shared" si="639"/>
        <v>52855883</v>
      </c>
      <c r="GN179" s="973"/>
    </row>
    <row r="180" spans="1:196">
      <c r="A180" s="782" t="s">
        <v>1358</v>
      </c>
      <c r="J180" s="770">
        <v>149</v>
      </c>
      <c r="K180" s="775"/>
      <c r="M180" s="775"/>
      <c r="O180" s="775">
        <f t="shared" si="612"/>
        <v>0</v>
      </c>
      <c r="Q180" s="775">
        <v>245489</v>
      </c>
      <c r="S180" s="775"/>
      <c r="U180" s="775">
        <f t="shared" si="613"/>
        <v>245489</v>
      </c>
      <c r="W180" s="775"/>
      <c r="Y180" s="775"/>
      <c r="AA180" s="775">
        <f t="shared" si="614"/>
        <v>0</v>
      </c>
      <c r="AC180" s="775"/>
      <c r="AE180" s="775"/>
      <c r="AG180" s="775">
        <f t="shared" si="615"/>
        <v>0</v>
      </c>
      <c r="AI180" s="775">
        <v>2359643</v>
      </c>
      <c r="AK180" s="970"/>
      <c r="AM180" s="775"/>
      <c r="AO180" s="775">
        <f t="shared" si="616"/>
        <v>2359643</v>
      </c>
      <c r="AQ180" s="775"/>
      <c r="AS180" s="775"/>
      <c r="AU180" s="775">
        <f t="shared" si="617"/>
        <v>0</v>
      </c>
      <c r="AW180" s="775"/>
      <c r="AY180" s="775"/>
      <c r="BA180" s="775">
        <f t="shared" si="618"/>
        <v>0</v>
      </c>
      <c r="BC180" s="775">
        <v>955735</v>
      </c>
      <c r="BE180" s="775"/>
      <c r="BG180" s="775">
        <f t="shared" si="619"/>
        <v>955735</v>
      </c>
      <c r="BI180" s="775"/>
      <c r="BK180" s="775"/>
      <c r="BM180" s="775">
        <f t="shared" si="620"/>
        <v>0</v>
      </c>
      <c r="BO180" s="775"/>
      <c r="BQ180" s="970"/>
      <c r="BS180" s="775"/>
      <c r="BU180" s="775">
        <f t="shared" si="621"/>
        <v>0</v>
      </c>
      <c r="BW180" s="775">
        <v>365659</v>
      </c>
      <c r="BZ180" s="970"/>
      <c r="CB180" s="775"/>
      <c r="CD180" s="970"/>
      <c r="CF180" s="775">
        <v>-86708</v>
      </c>
      <c r="CH180" s="775">
        <f t="shared" si="622"/>
        <v>278951</v>
      </c>
      <c r="CJ180" s="775"/>
      <c r="CL180" s="775"/>
      <c r="CN180" s="775">
        <f t="shared" si="623"/>
        <v>0</v>
      </c>
      <c r="CP180" s="775"/>
      <c r="CR180" s="775"/>
      <c r="CT180" s="775">
        <f t="shared" si="624"/>
        <v>0</v>
      </c>
      <c r="CV180" s="775"/>
      <c r="CX180" s="775"/>
      <c r="CZ180" s="775">
        <f t="shared" si="625"/>
        <v>0</v>
      </c>
      <c r="DB180" s="775">
        <v>13221000</v>
      </c>
      <c r="DD180" s="775"/>
      <c r="DF180" s="775">
        <f t="shared" si="626"/>
        <v>13221000</v>
      </c>
      <c r="DH180" s="775"/>
      <c r="DJ180" s="775"/>
      <c r="DL180" s="775">
        <f t="shared" si="627"/>
        <v>0</v>
      </c>
      <c r="DN180" s="775"/>
      <c r="DP180" s="775"/>
      <c r="DR180" s="775">
        <f t="shared" si="628"/>
        <v>0</v>
      </c>
      <c r="DT180" s="775">
        <v>47810</v>
      </c>
      <c r="DV180" s="971"/>
      <c r="DX180" s="775"/>
      <c r="DZ180" s="775">
        <f t="shared" si="629"/>
        <v>47810</v>
      </c>
      <c r="EB180" s="775"/>
      <c r="ED180" s="972"/>
      <c r="EF180" s="775"/>
      <c r="EH180" s="775">
        <f t="shared" si="630"/>
        <v>0</v>
      </c>
      <c r="EJ180" s="775">
        <v>207923</v>
      </c>
      <c r="EL180" s="775"/>
      <c r="EN180" s="775">
        <f t="shared" si="631"/>
        <v>207923</v>
      </c>
      <c r="EP180" s="775"/>
      <c r="ER180" s="775"/>
      <c r="ET180" s="775">
        <f t="shared" si="632"/>
        <v>0</v>
      </c>
      <c r="EV180" s="776"/>
      <c r="EX180" s="775">
        <v>910000</v>
      </c>
      <c r="EZ180" s="775">
        <f t="shared" si="633"/>
        <v>910000</v>
      </c>
      <c r="FB180" s="775"/>
      <c r="FD180" s="775"/>
      <c r="FF180" s="775"/>
      <c r="FH180" s="775"/>
      <c r="FJ180" s="775">
        <f t="shared" si="634"/>
        <v>0</v>
      </c>
      <c r="FL180" s="775"/>
      <c r="FN180" s="775"/>
      <c r="FP180" s="775">
        <f t="shared" si="635"/>
        <v>0</v>
      </c>
      <c r="FR180" s="775">
        <v>402901</v>
      </c>
      <c r="FT180" s="775"/>
      <c r="FV180" s="775">
        <f t="shared" si="636"/>
        <v>402901</v>
      </c>
      <c r="FX180" s="775"/>
      <c r="FZ180" s="775"/>
      <c r="GB180" s="775">
        <f t="shared" si="637"/>
        <v>0</v>
      </c>
      <c r="GD180" s="775"/>
      <c r="GF180" s="775"/>
      <c r="GH180" s="775">
        <v>0</v>
      </c>
      <c r="GK180" s="761">
        <f t="shared" si="638"/>
        <v>18629452</v>
      </c>
      <c r="GL180" s="973">
        <f t="shared" si="583"/>
        <v>18629.452000000001</v>
      </c>
      <c r="GM180" s="761">
        <f t="shared" si="639"/>
        <v>18629452</v>
      </c>
      <c r="GN180" s="973"/>
    </row>
    <row r="181" spans="1:196">
      <c r="A181" s="782" t="s">
        <v>1327</v>
      </c>
      <c r="I181" s="771"/>
      <c r="J181" s="758">
        <v>150</v>
      </c>
      <c r="K181" s="775"/>
      <c r="M181" s="775"/>
      <c r="O181" s="775">
        <f t="shared" si="612"/>
        <v>0</v>
      </c>
      <c r="Q181" s="775"/>
      <c r="S181" s="775"/>
      <c r="U181" s="775">
        <f t="shared" si="613"/>
        <v>0</v>
      </c>
      <c r="W181" s="775"/>
      <c r="Y181" s="775"/>
      <c r="AA181" s="775">
        <f t="shared" si="614"/>
        <v>0</v>
      </c>
      <c r="AC181" s="775"/>
      <c r="AE181" s="775"/>
      <c r="AG181" s="775">
        <f t="shared" si="615"/>
        <v>0</v>
      </c>
      <c r="AI181" s="775">
        <v>526898</v>
      </c>
      <c r="AK181" s="970">
        <v>0</v>
      </c>
      <c r="AM181" s="775"/>
      <c r="AO181" s="775">
        <f t="shared" si="616"/>
        <v>526898</v>
      </c>
      <c r="AQ181" s="775"/>
      <c r="AS181" s="775"/>
      <c r="AU181" s="775">
        <f t="shared" si="617"/>
        <v>0</v>
      </c>
      <c r="AW181" s="775"/>
      <c r="AY181" s="775"/>
      <c r="BA181" s="775">
        <f t="shared" si="618"/>
        <v>0</v>
      </c>
      <c r="BC181" s="775">
        <v>280061</v>
      </c>
      <c r="BE181" s="775"/>
      <c r="BG181" s="775">
        <f t="shared" si="619"/>
        <v>280061</v>
      </c>
      <c r="BI181" s="775"/>
      <c r="BK181" s="775"/>
      <c r="BM181" s="775">
        <f t="shared" si="620"/>
        <v>0</v>
      </c>
      <c r="BO181" s="775"/>
      <c r="BQ181" s="970"/>
      <c r="BS181" s="775"/>
      <c r="BU181" s="775">
        <f t="shared" si="621"/>
        <v>0</v>
      </c>
      <c r="BW181" s="775"/>
      <c r="BZ181" s="970"/>
      <c r="CB181" s="775"/>
      <c r="CD181" s="970"/>
      <c r="CF181" s="775">
        <f>-8961+86708</f>
        <v>77747</v>
      </c>
      <c r="CH181" s="775">
        <f t="shared" si="622"/>
        <v>77747</v>
      </c>
      <c r="CJ181" s="775"/>
      <c r="CL181" s="775"/>
      <c r="CN181" s="775">
        <f t="shared" si="623"/>
        <v>0</v>
      </c>
      <c r="CP181" s="775"/>
      <c r="CR181" s="775"/>
      <c r="CT181" s="775">
        <f t="shared" si="624"/>
        <v>0</v>
      </c>
      <c r="CV181" s="775"/>
      <c r="CX181" s="775"/>
      <c r="CZ181" s="775">
        <f t="shared" si="625"/>
        <v>0</v>
      </c>
      <c r="DB181" s="775"/>
      <c r="DD181" s="775"/>
      <c r="DF181" s="775">
        <f t="shared" si="626"/>
        <v>0</v>
      </c>
      <c r="DH181" s="775"/>
      <c r="DJ181" s="775"/>
      <c r="DL181" s="775">
        <f t="shared" si="627"/>
        <v>0</v>
      </c>
      <c r="DN181" s="775"/>
      <c r="DP181" s="775"/>
      <c r="DR181" s="775">
        <f t="shared" si="628"/>
        <v>0</v>
      </c>
      <c r="DT181" s="775"/>
      <c r="DV181" s="971">
        <v>0</v>
      </c>
      <c r="DX181" s="775"/>
      <c r="DZ181" s="775">
        <f t="shared" si="629"/>
        <v>0</v>
      </c>
      <c r="EB181" s="775"/>
      <c r="ED181" s="972">
        <v>0</v>
      </c>
      <c r="EF181" s="775"/>
      <c r="EH181" s="775">
        <f t="shared" si="630"/>
        <v>0</v>
      </c>
      <c r="EJ181" s="775"/>
      <c r="EL181" s="775"/>
      <c r="EN181" s="775">
        <f t="shared" si="631"/>
        <v>0</v>
      </c>
      <c r="EP181" s="775"/>
      <c r="ER181" s="775"/>
      <c r="ET181" s="775">
        <f t="shared" si="632"/>
        <v>0</v>
      </c>
      <c r="EV181" s="776">
        <v>1714825</v>
      </c>
      <c r="EX181" s="775">
        <v>-910000</v>
      </c>
      <c r="EZ181" s="775">
        <f t="shared" si="633"/>
        <v>804825</v>
      </c>
      <c r="FB181" s="775"/>
      <c r="FD181" s="775"/>
      <c r="FF181" s="775"/>
      <c r="FH181" s="775"/>
      <c r="FJ181" s="775">
        <f t="shared" si="634"/>
        <v>0</v>
      </c>
      <c r="FL181" s="775"/>
      <c r="FN181" s="775"/>
      <c r="FP181" s="775">
        <f t="shared" si="635"/>
        <v>0</v>
      </c>
      <c r="FR181" s="775"/>
      <c r="FT181" s="775"/>
      <c r="FV181" s="775">
        <f t="shared" si="636"/>
        <v>0</v>
      </c>
      <c r="FX181" s="775"/>
      <c r="FZ181" s="775"/>
      <c r="GB181" s="775">
        <f t="shared" si="637"/>
        <v>0</v>
      </c>
      <c r="GD181" s="775"/>
      <c r="GF181" s="775"/>
      <c r="GH181" s="775">
        <v>0</v>
      </c>
      <c r="GK181" s="761">
        <f t="shared" si="638"/>
        <v>1689531</v>
      </c>
      <c r="GL181" s="973">
        <f t="shared" si="583"/>
        <v>1689.5309999999999</v>
      </c>
      <c r="GM181" s="761">
        <f t="shared" si="639"/>
        <v>1689531</v>
      </c>
      <c r="GN181" s="973"/>
    </row>
    <row r="182" spans="1:196">
      <c r="A182" s="782" t="s">
        <v>510</v>
      </c>
      <c r="J182" s="770">
        <v>151</v>
      </c>
      <c r="K182" s="775"/>
      <c r="M182" s="775"/>
      <c r="O182" s="775">
        <f t="shared" si="612"/>
        <v>0</v>
      </c>
      <c r="Q182" s="775"/>
      <c r="S182" s="775"/>
      <c r="U182" s="775">
        <f t="shared" si="613"/>
        <v>0</v>
      </c>
      <c r="W182" s="775"/>
      <c r="Y182" s="775"/>
      <c r="AA182" s="775">
        <f t="shared" si="614"/>
        <v>0</v>
      </c>
      <c r="AC182" s="775"/>
      <c r="AE182" s="775"/>
      <c r="AG182" s="775">
        <f t="shared" si="615"/>
        <v>0</v>
      </c>
      <c r="AI182" s="775"/>
      <c r="AK182" s="970">
        <v>0</v>
      </c>
      <c r="AM182" s="775"/>
      <c r="AO182" s="775">
        <f t="shared" si="616"/>
        <v>0</v>
      </c>
      <c r="AQ182" s="775"/>
      <c r="AS182" s="775"/>
      <c r="AU182" s="775">
        <f t="shared" si="617"/>
        <v>0</v>
      </c>
      <c r="AW182" s="775"/>
      <c r="AY182" s="775"/>
      <c r="BA182" s="775">
        <f t="shared" si="618"/>
        <v>0</v>
      </c>
      <c r="BC182" s="775"/>
      <c r="BE182" s="775"/>
      <c r="BG182" s="775">
        <f t="shared" si="619"/>
        <v>0</v>
      </c>
      <c r="BI182" s="775"/>
      <c r="BK182" s="775"/>
      <c r="BM182" s="775">
        <f t="shared" si="620"/>
        <v>0</v>
      </c>
      <c r="BO182" s="775"/>
      <c r="BQ182" s="970"/>
      <c r="BS182" s="775"/>
      <c r="BU182" s="775">
        <f t="shared" si="621"/>
        <v>0</v>
      </c>
      <c r="BW182" s="775"/>
      <c r="BZ182" s="970"/>
      <c r="CB182" s="775"/>
      <c r="CD182" s="970"/>
      <c r="CF182" s="775"/>
      <c r="CH182" s="775">
        <f t="shared" si="622"/>
        <v>0</v>
      </c>
      <c r="CJ182" s="775"/>
      <c r="CL182" s="775"/>
      <c r="CN182" s="775">
        <f t="shared" si="623"/>
        <v>0</v>
      </c>
      <c r="CP182" s="775"/>
      <c r="CR182" s="775"/>
      <c r="CT182" s="775">
        <f t="shared" si="624"/>
        <v>0</v>
      </c>
      <c r="CV182" s="775"/>
      <c r="CX182" s="775"/>
      <c r="CZ182" s="775">
        <f t="shared" si="625"/>
        <v>0</v>
      </c>
      <c r="DB182" s="775"/>
      <c r="DD182" s="775"/>
      <c r="DF182" s="775">
        <f t="shared" si="626"/>
        <v>0</v>
      </c>
      <c r="DH182" s="775"/>
      <c r="DJ182" s="775"/>
      <c r="DL182" s="775">
        <f t="shared" si="627"/>
        <v>0</v>
      </c>
      <c r="DN182" s="775"/>
      <c r="DP182" s="775"/>
      <c r="DR182" s="775">
        <f t="shared" si="628"/>
        <v>0</v>
      </c>
      <c r="DT182" s="775"/>
      <c r="DV182" s="971">
        <v>0</v>
      </c>
      <c r="DX182" s="775"/>
      <c r="DZ182" s="775">
        <f t="shared" si="629"/>
        <v>0</v>
      </c>
      <c r="EB182" s="775"/>
      <c r="ED182" s="972">
        <v>0</v>
      </c>
      <c r="EF182" s="775"/>
      <c r="EH182" s="775">
        <f t="shared" si="630"/>
        <v>0</v>
      </c>
      <c r="EJ182" s="775"/>
      <c r="EL182" s="775"/>
      <c r="EN182" s="775">
        <f t="shared" si="631"/>
        <v>0</v>
      </c>
      <c r="EP182" s="775"/>
      <c r="ER182" s="775"/>
      <c r="ET182" s="775">
        <f t="shared" si="632"/>
        <v>0</v>
      </c>
      <c r="EV182" s="775"/>
      <c r="EX182" s="775"/>
      <c r="EZ182" s="775">
        <f t="shared" si="633"/>
        <v>0</v>
      </c>
      <c r="FB182" s="775"/>
      <c r="FD182" s="775"/>
      <c r="FF182" s="775"/>
      <c r="FH182" s="775"/>
      <c r="FJ182" s="775">
        <f t="shared" si="634"/>
        <v>0</v>
      </c>
      <c r="FL182" s="775"/>
      <c r="FN182" s="775"/>
      <c r="FP182" s="775">
        <f t="shared" si="635"/>
        <v>0</v>
      </c>
      <c r="FR182" s="775"/>
      <c r="FT182" s="775"/>
      <c r="FV182" s="775">
        <f t="shared" si="636"/>
        <v>0</v>
      </c>
      <c r="FX182" s="775"/>
      <c r="FZ182" s="775"/>
      <c r="GB182" s="775">
        <f t="shared" si="637"/>
        <v>0</v>
      </c>
      <c r="GD182" s="775"/>
      <c r="GF182" s="775"/>
      <c r="GH182" s="775">
        <v>0</v>
      </c>
      <c r="GK182" s="761">
        <f t="shared" si="638"/>
        <v>0</v>
      </c>
      <c r="GL182" s="973">
        <f t="shared" si="583"/>
        <v>0</v>
      </c>
      <c r="GM182" s="761">
        <f t="shared" si="639"/>
        <v>0</v>
      </c>
      <c r="GN182" s="973"/>
    </row>
    <row r="183" spans="1:196">
      <c r="A183" s="782" t="s">
        <v>589</v>
      </c>
      <c r="J183" s="758">
        <v>152</v>
      </c>
      <c r="K183" s="775"/>
      <c r="M183" s="775"/>
      <c r="O183" s="775">
        <f t="shared" si="612"/>
        <v>0</v>
      </c>
      <c r="Q183" s="775"/>
      <c r="S183" s="775"/>
      <c r="U183" s="775">
        <f t="shared" si="613"/>
        <v>0</v>
      </c>
      <c r="W183" s="775"/>
      <c r="Y183" s="775"/>
      <c r="AA183" s="775">
        <f t="shared" si="614"/>
        <v>0</v>
      </c>
      <c r="AC183" s="775"/>
      <c r="AE183" s="775"/>
      <c r="AG183" s="775">
        <f t="shared" si="615"/>
        <v>0</v>
      </c>
      <c r="AI183" s="775"/>
      <c r="AK183" s="970">
        <v>0</v>
      </c>
      <c r="AM183" s="775"/>
      <c r="AO183" s="775">
        <f t="shared" si="616"/>
        <v>0</v>
      </c>
      <c r="AQ183" s="775"/>
      <c r="AS183" s="775"/>
      <c r="AU183" s="775">
        <f t="shared" si="617"/>
        <v>0</v>
      </c>
      <c r="AW183" s="775"/>
      <c r="AY183" s="775"/>
      <c r="BA183" s="775">
        <f t="shared" si="618"/>
        <v>0</v>
      </c>
      <c r="BC183" s="775"/>
      <c r="BE183" s="775"/>
      <c r="BG183" s="775">
        <f t="shared" si="619"/>
        <v>0</v>
      </c>
      <c r="BI183" s="775"/>
      <c r="BK183" s="775"/>
      <c r="BM183" s="775">
        <f t="shared" si="620"/>
        <v>0</v>
      </c>
      <c r="BO183" s="775"/>
      <c r="BQ183" s="970"/>
      <c r="BS183" s="775"/>
      <c r="BU183" s="775">
        <f t="shared" si="621"/>
        <v>0</v>
      </c>
      <c r="BW183" s="775"/>
      <c r="BZ183" s="970"/>
      <c r="CB183" s="775"/>
      <c r="CD183" s="970"/>
      <c r="CF183" s="775"/>
      <c r="CH183" s="775">
        <f t="shared" si="622"/>
        <v>0</v>
      </c>
      <c r="CJ183" s="775"/>
      <c r="CL183" s="775"/>
      <c r="CN183" s="775">
        <f t="shared" si="623"/>
        <v>0</v>
      </c>
      <c r="CP183" s="775"/>
      <c r="CR183" s="775"/>
      <c r="CT183" s="775">
        <f t="shared" si="624"/>
        <v>0</v>
      </c>
      <c r="CV183" s="775"/>
      <c r="CX183" s="775"/>
      <c r="CZ183" s="775">
        <f t="shared" si="625"/>
        <v>0</v>
      </c>
      <c r="DB183" s="775"/>
      <c r="DD183" s="775"/>
      <c r="DF183" s="775">
        <f t="shared" si="626"/>
        <v>0</v>
      </c>
      <c r="DH183" s="775"/>
      <c r="DJ183" s="775"/>
      <c r="DL183" s="775">
        <f t="shared" si="627"/>
        <v>0</v>
      </c>
      <c r="DN183" s="775"/>
      <c r="DP183" s="775"/>
      <c r="DR183" s="775">
        <f t="shared" si="628"/>
        <v>0</v>
      </c>
      <c r="DT183" s="775"/>
      <c r="DV183" s="971">
        <v>0</v>
      </c>
      <c r="DX183" s="775"/>
      <c r="DZ183" s="775">
        <f t="shared" si="629"/>
        <v>0</v>
      </c>
      <c r="EB183" s="775"/>
      <c r="ED183" s="972">
        <v>0</v>
      </c>
      <c r="EF183" s="775"/>
      <c r="EH183" s="775">
        <f t="shared" si="630"/>
        <v>0</v>
      </c>
      <c r="EJ183" s="775"/>
      <c r="EL183" s="775"/>
      <c r="EN183" s="775">
        <f t="shared" si="631"/>
        <v>0</v>
      </c>
      <c r="EP183" s="775"/>
      <c r="ER183" s="775"/>
      <c r="ET183" s="775">
        <f t="shared" si="632"/>
        <v>0</v>
      </c>
      <c r="EV183" s="775"/>
      <c r="EX183" s="775"/>
      <c r="EZ183" s="775">
        <f t="shared" si="633"/>
        <v>0</v>
      </c>
      <c r="FB183" s="775"/>
      <c r="FD183" s="775"/>
      <c r="FF183" s="775"/>
      <c r="FH183" s="775"/>
      <c r="FJ183" s="775">
        <f t="shared" si="634"/>
        <v>0</v>
      </c>
      <c r="FL183" s="775"/>
      <c r="FN183" s="775"/>
      <c r="FP183" s="775">
        <f t="shared" si="635"/>
        <v>0</v>
      </c>
      <c r="FR183" s="775"/>
      <c r="FT183" s="775"/>
      <c r="FV183" s="775">
        <f t="shared" si="636"/>
        <v>0</v>
      </c>
      <c r="FX183" s="775">
        <v>3245363</v>
      </c>
      <c r="FZ183" s="775"/>
      <c r="GB183" s="775">
        <f t="shared" si="637"/>
        <v>3245363</v>
      </c>
      <c r="GD183" s="775"/>
      <c r="GF183" s="775"/>
      <c r="GH183" s="775">
        <v>0</v>
      </c>
      <c r="GK183" s="761">
        <f t="shared" si="638"/>
        <v>3245363</v>
      </c>
      <c r="GL183" s="973">
        <f t="shared" si="583"/>
        <v>3245.3629999999998</v>
      </c>
      <c r="GM183" s="761">
        <f t="shared" si="639"/>
        <v>0</v>
      </c>
      <c r="GN183" s="973"/>
    </row>
    <row r="184" spans="1:196">
      <c r="A184" s="758" t="s">
        <v>135</v>
      </c>
      <c r="I184" s="771"/>
      <c r="J184" s="770">
        <v>153</v>
      </c>
      <c r="K184" s="775"/>
      <c r="M184" s="775"/>
      <c r="O184" s="775">
        <f t="shared" si="612"/>
        <v>0</v>
      </c>
      <c r="Q184" s="775"/>
      <c r="S184" s="775"/>
      <c r="U184" s="775">
        <f t="shared" si="613"/>
        <v>0</v>
      </c>
      <c r="W184" s="775"/>
      <c r="Y184" s="775"/>
      <c r="AA184" s="775">
        <f t="shared" si="614"/>
        <v>0</v>
      </c>
      <c r="AC184" s="775"/>
      <c r="AE184" s="775"/>
      <c r="AG184" s="775">
        <f t="shared" si="615"/>
        <v>0</v>
      </c>
      <c r="AI184" s="775"/>
      <c r="AK184" s="970">
        <v>0</v>
      </c>
      <c r="AM184" s="775"/>
      <c r="AO184" s="775">
        <f t="shared" si="616"/>
        <v>0</v>
      </c>
      <c r="AQ184" s="775"/>
      <c r="AS184" s="775"/>
      <c r="AU184" s="775">
        <f t="shared" si="617"/>
        <v>0</v>
      </c>
      <c r="AW184" s="775">
        <v>89141</v>
      </c>
      <c r="AY184" s="775"/>
      <c r="BA184" s="775">
        <f t="shared" si="618"/>
        <v>89141</v>
      </c>
      <c r="BC184" s="775"/>
      <c r="BE184" s="775"/>
      <c r="BG184" s="775">
        <f t="shared" si="619"/>
        <v>0</v>
      </c>
      <c r="BI184" s="775"/>
      <c r="BK184" s="775"/>
      <c r="BM184" s="775">
        <f t="shared" si="620"/>
        <v>0</v>
      </c>
      <c r="BO184" s="775"/>
      <c r="BQ184" s="970"/>
      <c r="BS184" s="775"/>
      <c r="BU184" s="775">
        <f t="shared" si="621"/>
        <v>0</v>
      </c>
      <c r="BW184" s="775"/>
      <c r="BZ184" s="970"/>
      <c r="CB184" s="775"/>
      <c r="CD184" s="970"/>
      <c r="CF184" s="775"/>
      <c r="CH184" s="775">
        <f t="shared" si="622"/>
        <v>0</v>
      </c>
      <c r="CJ184" s="775"/>
      <c r="CL184" s="775"/>
      <c r="CN184" s="775">
        <f t="shared" si="623"/>
        <v>0</v>
      </c>
      <c r="CP184" s="775"/>
      <c r="CR184" s="775"/>
      <c r="CT184" s="775">
        <f t="shared" si="624"/>
        <v>0</v>
      </c>
      <c r="CV184" s="775"/>
      <c r="CX184" s="775"/>
      <c r="CZ184" s="775">
        <f t="shared" si="625"/>
        <v>0</v>
      </c>
      <c r="DB184" s="776"/>
      <c r="DD184" s="775"/>
      <c r="DF184" s="775">
        <f t="shared" si="626"/>
        <v>0</v>
      </c>
      <c r="DH184" s="775"/>
      <c r="DJ184" s="775"/>
      <c r="DL184" s="775">
        <f t="shared" si="627"/>
        <v>0</v>
      </c>
      <c r="DN184" s="775"/>
      <c r="DP184" s="775"/>
      <c r="DR184" s="775">
        <f t="shared" si="628"/>
        <v>0</v>
      </c>
      <c r="DT184" s="775"/>
      <c r="DV184" s="971">
        <v>0</v>
      </c>
      <c r="DX184" s="775"/>
      <c r="DZ184" s="775">
        <f t="shared" si="629"/>
        <v>0</v>
      </c>
      <c r="EB184" s="775"/>
      <c r="ED184" s="972">
        <v>0</v>
      </c>
      <c r="EF184" s="775"/>
      <c r="EH184" s="775">
        <f t="shared" si="630"/>
        <v>0</v>
      </c>
      <c r="EJ184" s="776"/>
      <c r="EL184" s="775"/>
      <c r="EN184" s="775">
        <f t="shared" si="631"/>
        <v>0</v>
      </c>
      <c r="EP184" s="775">
        <v>159179402</v>
      </c>
      <c r="ER184" s="775">
        <v>-11312423</v>
      </c>
      <c r="ET184" s="775">
        <f t="shared" si="632"/>
        <v>147866979</v>
      </c>
      <c r="EV184" s="775"/>
      <c r="EX184" s="775"/>
      <c r="EZ184" s="775">
        <f t="shared" si="633"/>
        <v>0</v>
      </c>
      <c r="FB184" s="775"/>
      <c r="FD184" s="775"/>
      <c r="FF184" s="775"/>
      <c r="FH184" s="775"/>
      <c r="FJ184" s="775">
        <f t="shared" si="634"/>
        <v>0</v>
      </c>
      <c r="FL184" s="775"/>
      <c r="FN184" s="775"/>
      <c r="FP184" s="775">
        <f t="shared" si="635"/>
        <v>0</v>
      </c>
      <c r="FR184" s="775"/>
      <c r="FT184" s="775"/>
      <c r="FV184" s="775">
        <f t="shared" si="636"/>
        <v>0</v>
      </c>
      <c r="FX184" s="775"/>
      <c r="FZ184" s="775"/>
      <c r="GB184" s="775">
        <f t="shared" si="637"/>
        <v>0</v>
      </c>
      <c r="GD184" s="775"/>
      <c r="GF184" s="775"/>
      <c r="GH184" s="775">
        <v>0</v>
      </c>
      <c r="GK184" s="761">
        <f t="shared" si="638"/>
        <v>147956120</v>
      </c>
      <c r="GL184" s="973">
        <f t="shared" si="583"/>
        <v>147956.12</v>
      </c>
      <c r="GM184" s="761">
        <f t="shared" si="639"/>
        <v>147956120</v>
      </c>
      <c r="GN184" s="973"/>
    </row>
    <row r="185" spans="1:196">
      <c r="B185" s="766" t="s">
        <v>618</v>
      </c>
      <c r="J185" s="758">
        <v>154</v>
      </c>
      <c r="K185" s="777">
        <f>SUM(K171:K184)</f>
        <v>0</v>
      </c>
      <c r="M185" s="777">
        <f>SUM(M171:M184)</f>
        <v>0</v>
      </c>
      <c r="O185" s="777">
        <f>SUM(O171:O184)</f>
        <v>0</v>
      </c>
      <c r="Q185" s="777">
        <f>SUM(Q171:Q184)</f>
        <v>399608</v>
      </c>
      <c r="S185" s="777">
        <f>SUM(S171:S184)</f>
        <v>0</v>
      </c>
      <c r="U185" s="777">
        <f>SUM(U171:U184)</f>
        <v>399608</v>
      </c>
      <c r="W185" s="777">
        <f>SUM(W171:W184)</f>
        <v>178479</v>
      </c>
      <c r="Y185" s="777">
        <f>SUM(Y171:Y184)</f>
        <v>0</v>
      </c>
      <c r="AA185" s="777">
        <f>SUM(AA171:AA184)</f>
        <v>178479</v>
      </c>
      <c r="AC185" s="777">
        <f>SUM(AC171:AC184)</f>
        <v>0</v>
      </c>
      <c r="AE185" s="777">
        <f>SUM(AE171:AE184)</f>
        <v>0</v>
      </c>
      <c r="AG185" s="777">
        <f>SUM(AG171:AG184)</f>
        <v>0</v>
      </c>
      <c r="AI185" s="777">
        <f>SUM(AI171:AI184)</f>
        <v>31365594</v>
      </c>
      <c r="AK185" s="974">
        <f>SUM(AK171:AK184)</f>
        <v>0</v>
      </c>
      <c r="AM185" s="777">
        <f>SUM(AM171:AM184)</f>
        <v>0</v>
      </c>
      <c r="AO185" s="777">
        <f>SUM(AO171:AO184)</f>
        <v>31365594</v>
      </c>
      <c r="AQ185" s="777">
        <f>SUM(AQ171:AQ184)</f>
        <v>0</v>
      </c>
      <c r="AS185" s="777">
        <f>SUM(AS171:AS184)</f>
        <v>0</v>
      </c>
      <c r="AU185" s="777">
        <f>SUM(AU171:AU184)</f>
        <v>0</v>
      </c>
      <c r="AW185" s="777">
        <f>SUM(AW171:AW184)</f>
        <v>89141</v>
      </c>
      <c r="AY185" s="777">
        <f>SUM(AY171:AY184)</f>
        <v>0</v>
      </c>
      <c r="BA185" s="777">
        <f>SUM(BA171:BA184)</f>
        <v>89141</v>
      </c>
      <c r="BC185" s="777">
        <f>SUM(BC171:BC184)</f>
        <v>7184809</v>
      </c>
      <c r="BE185" s="777">
        <f>SUM(BE171:BE184)</f>
        <v>0</v>
      </c>
      <c r="BG185" s="777">
        <f>SUM(BG171:BG184)</f>
        <v>7184809</v>
      </c>
      <c r="BI185" s="777">
        <f>SUM(BI171:BI184)</f>
        <v>95270</v>
      </c>
      <c r="BK185" s="777">
        <f>SUM(BK171:BK184)</f>
        <v>0</v>
      </c>
      <c r="BM185" s="777">
        <f>SUM(BM171:BM184)</f>
        <v>95270</v>
      </c>
      <c r="BO185" s="777">
        <f>SUM(BO171:BO184)</f>
        <v>108907</v>
      </c>
      <c r="BQ185" s="974">
        <f>SUM(BQ171:BQ184)</f>
        <v>0</v>
      </c>
      <c r="BS185" s="777">
        <f>SUM(BS171:BS184)</f>
        <v>0</v>
      </c>
      <c r="BU185" s="777">
        <f>SUM(BU171:BU184)</f>
        <v>108907</v>
      </c>
      <c r="BW185" s="777">
        <f>SUM(BW171:BW184)</f>
        <v>2006298</v>
      </c>
      <c r="BZ185" s="974">
        <f>SUM(BZ171:BZ184)</f>
        <v>0</v>
      </c>
      <c r="CB185" s="777">
        <f>SUM(CB171:CB184)</f>
        <v>0</v>
      </c>
      <c r="CD185" s="974">
        <f>SUM(CD171:CD184)</f>
        <v>0</v>
      </c>
      <c r="CF185" s="777">
        <f>SUM(CF171:CF184)</f>
        <v>-8961</v>
      </c>
      <c r="CH185" s="777">
        <f>SUM(CH171:CH184)</f>
        <v>1997337</v>
      </c>
      <c r="CJ185" s="777">
        <f>SUM(CJ171:CJ184)</f>
        <v>0</v>
      </c>
      <c r="CL185" s="777">
        <f>SUM(CL171:CL184)</f>
        <v>0</v>
      </c>
      <c r="CN185" s="777">
        <f>SUM(CN171:CN184)</f>
        <v>0</v>
      </c>
      <c r="CP185" s="777">
        <f>SUM(CP171:CP184)</f>
        <v>608488</v>
      </c>
      <c r="CR185" s="777">
        <f>SUM(CR171:CR184)</f>
        <v>0</v>
      </c>
      <c r="CT185" s="777">
        <f>SUM(CT171:CT184)</f>
        <v>608488</v>
      </c>
      <c r="CV185" s="777">
        <f>SUM(CV171:CV184)</f>
        <v>0</v>
      </c>
      <c r="CX185" s="777">
        <f>SUM(CX171:CX184)</f>
        <v>0</v>
      </c>
      <c r="CZ185" s="777">
        <f>SUM(CZ171:CZ184)</f>
        <v>0</v>
      </c>
      <c r="DB185" s="777">
        <f>SUM(DB171:DB184)</f>
        <v>917223000</v>
      </c>
      <c r="DD185" s="777">
        <f>SUM(DD171:DD184)</f>
        <v>2363000</v>
      </c>
      <c r="DF185" s="777">
        <f>SUM(DF171:DF184)</f>
        <v>919586000</v>
      </c>
      <c r="DH185" s="777">
        <f>SUM(DH171:DH184)</f>
        <v>0</v>
      </c>
      <c r="DJ185" s="777">
        <f>SUM(DJ171:DJ184)</f>
        <v>0</v>
      </c>
      <c r="DL185" s="777">
        <f>SUM(DL171:DL184)</f>
        <v>0</v>
      </c>
      <c r="DN185" s="777">
        <f>SUM(DN171:DN184)</f>
        <v>0</v>
      </c>
      <c r="DP185" s="777">
        <f>SUM(DP171:DP184)</f>
        <v>0</v>
      </c>
      <c r="DR185" s="777">
        <f>SUM(DR171:DR184)</f>
        <v>0</v>
      </c>
      <c r="DT185" s="777">
        <f>SUM(DT171:DT184)</f>
        <v>47810</v>
      </c>
      <c r="DV185" s="975">
        <f>SUM(DV171:DV184)</f>
        <v>0</v>
      </c>
      <c r="DX185" s="777">
        <f>SUM(DX171:DX184)</f>
        <v>0</v>
      </c>
      <c r="DZ185" s="777">
        <f>SUM(DZ171:DZ184)</f>
        <v>47810</v>
      </c>
      <c r="EB185" s="777">
        <f>SUM(EB171:EB184)</f>
        <v>1963269</v>
      </c>
      <c r="ED185" s="976">
        <f>SUM(ED171:ED184)</f>
        <v>0</v>
      </c>
      <c r="EF185" s="777">
        <f>SUM(EF171:EF184)</f>
        <v>0</v>
      </c>
      <c r="EH185" s="777">
        <f>SUM(EH171:EH184)</f>
        <v>1963269</v>
      </c>
      <c r="EJ185" s="777">
        <f>SUM(EJ171:EJ184)</f>
        <v>3067220554</v>
      </c>
      <c r="EL185" s="777">
        <f>SUM(EL171:EL184)</f>
        <v>26421782</v>
      </c>
      <c r="EN185" s="777">
        <f>SUM(EN171:EN184)</f>
        <v>3093642336</v>
      </c>
      <c r="EP185" s="777">
        <f>SUM(EP171:EP184)</f>
        <v>4802517724</v>
      </c>
      <c r="ER185" s="777">
        <f>SUM(ER171:ER184)</f>
        <v>0</v>
      </c>
      <c r="ET185" s="777">
        <f>SUM(ET171:ET184)</f>
        <v>4802517724</v>
      </c>
      <c r="EV185" s="777">
        <f>SUM(EV171:EV184)</f>
        <v>5176791714</v>
      </c>
      <c r="EX185" s="777">
        <f>SUM(EX171:EX184)</f>
        <v>3796208</v>
      </c>
      <c r="EZ185" s="777">
        <f>SUM(EZ171:EZ184)</f>
        <v>5180587922</v>
      </c>
      <c r="FB185" s="777">
        <f>SUM(FB171:FB184)</f>
        <v>0</v>
      </c>
      <c r="FD185" s="777">
        <f>SUM(FD171:FD184)</f>
        <v>0</v>
      </c>
      <c r="FF185" s="777">
        <f>SUM(FF171:FF184)</f>
        <v>3904789255</v>
      </c>
      <c r="FH185" s="777">
        <f>SUM(FH171:FH184)</f>
        <v>0</v>
      </c>
      <c r="FJ185" s="777">
        <f>SUM(FJ171:FJ184)</f>
        <v>3904789255</v>
      </c>
      <c r="FL185" s="777">
        <f>SUM(FL171:FL184)</f>
        <v>267189</v>
      </c>
      <c r="FN185" s="777">
        <f>SUM(FN171:FN184)</f>
        <v>0</v>
      </c>
      <c r="FP185" s="777">
        <f>SUM(FP171:FP184)</f>
        <v>267189</v>
      </c>
      <c r="FR185" s="777">
        <f>SUM(FR171:FR184)</f>
        <v>6461978</v>
      </c>
      <c r="FT185" s="777">
        <f>SUM(FT171:FT184)</f>
        <v>0</v>
      </c>
      <c r="FV185" s="777">
        <f>SUM(FV171:FV184)</f>
        <v>6461978</v>
      </c>
      <c r="FX185" s="777">
        <f>SUM(FX171:FX184)</f>
        <v>47048970</v>
      </c>
      <c r="FZ185" s="777">
        <f>SUM(FZ171:FZ184)</f>
        <v>0</v>
      </c>
      <c r="GB185" s="777">
        <f>SUM(GB171:GB184)</f>
        <v>47048970</v>
      </c>
      <c r="GD185" s="777">
        <v>6594847424</v>
      </c>
      <c r="GF185" s="777">
        <v>0</v>
      </c>
      <c r="GH185" s="777">
        <v>6594847424</v>
      </c>
      <c r="GK185" s="761">
        <f t="shared" si="638"/>
        <v>17998940086</v>
      </c>
      <c r="GL185" s="973">
        <f t="shared" si="583"/>
        <v>17998940.085999999</v>
      </c>
      <c r="GM185" s="761">
        <f t="shared" si="639"/>
        <v>17951891116</v>
      </c>
      <c r="GN185" s="973"/>
    </row>
    <row r="186" spans="1:196">
      <c r="J186" s="770">
        <v>155</v>
      </c>
      <c r="BQ186" s="952"/>
      <c r="BW186" s="761"/>
      <c r="BZ186" s="952"/>
      <c r="CB186" s="761"/>
      <c r="CD186" s="952"/>
      <c r="CP186" s="761"/>
      <c r="CV186" s="761"/>
      <c r="DB186" s="761"/>
      <c r="DH186" s="761"/>
      <c r="DN186" s="761"/>
      <c r="DT186" s="761"/>
      <c r="DV186" s="977"/>
      <c r="EB186" s="761"/>
      <c r="ED186" s="978"/>
      <c r="EJ186" s="761"/>
      <c r="EP186" s="761"/>
      <c r="EV186" s="761"/>
      <c r="FB186" s="761"/>
      <c r="FD186" s="761"/>
      <c r="GL186" s="973">
        <f t="shared" si="583"/>
        <v>0</v>
      </c>
      <c r="GN186" s="973"/>
    </row>
    <row r="187" spans="1:196">
      <c r="A187" s="763" t="s">
        <v>485</v>
      </c>
      <c r="I187" s="771"/>
      <c r="J187" s="758">
        <v>156</v>
      </c>
      <c r="K187" s="777">
        <f>SUM(K185,K169,K163,K147,K145,K137,K136,K135,K132,K134,K133,K130)</f>
        <v>0</v>
      </c>
      <c r="M187" s="777">
        <f>SUM(M185,M169,M163,M147,M145,M137,M136,M135,M132,M134,M133,M130)</f>
        <v>0</v>
      </c>
      <c r="O187" s="777">
        <f>SUM(O185,O169,O163,O147,O145,O137,O136,O135,O132,O134,O133,O130)</f>
        <v>0</v>
      </c>
      <c r="Q187" s="777">
        <f>SUM(Q185,Q169,Q163,Q147,Q145,Q137,Q136,Q135,Q132,Q134,Q133,Q130)</f>
        <v>2301116</v>
      </c>
      <c r="S187" s="777">
        <f>SUM(S185,S169,S163,S147,S145,S137,S136,S135,S132,S134,S133,S130)</f>
        <v>0</v>
      </c>
      <c r="U187" s="777">
        <f>SUM(U185,U169,U163,U147,U145,U137,U136,U135,U132,U134,U133,U130)</f>
        <v>2301116</v>
      </c>
      <c r="W187" s="777">
        <f>SUM(W185,W169,W163,W147,W145,W137,W136,W135,W132,W134,W133,W130)</f>
        <v>5852285</v>
      </c>
      <c r="Y187" s="777">
        <f>SUM(Y185,Y169,Y163,Y147,Y145,Y137,Y136,Y135,Y132,Y134,Y133,Y130)</f>
        <v>0</v>
      </c>
      <c r="AA187" s="777">
        <f>SUM(AA185,AA169,AA163,AA147,AA145,AA137,AA136,AA135,AA132,AA134,AA133,AA130)</f>
        <v>5852285</v>
      </c>
      <c r="AC187" s="777">
        <f>SUM(AC185,AC169,AC163,AC147,AC145,AC137,AC136,AC135,AC132,AC134,AC133,AC130)</f>
        <v>2591840</v>
      </c>
      <c r="AE187" s="777">
        <f>SUM(AE185,AE169,AE163,AE147,AE145,AE137,AE136,AE135,AE132,AE134,AE133,AE130)</f>
        <v>2531</v>
      </c>
      <c r="AG187" s="777">
        <f>SUM(AG185,AG169,AG163,AG147,AG145,AG137,AG136,AG135,AG132,AG134,AG133,AG130)</f>
        <v>2594371</v>
      </c>
      <c r="AI187" s="777">
        <f>SUM(AI185,AI169,AI163,AI147,AI145,AI137,AI136,AI135,AI132,AI134,AI133,AI130)</f>
        <v>36565186</v>
      </c>
      <c r="AK187" s="974">
        <f>SUM(AK185,AK169,AK163,AK147,AK145,AK137,AK135,AK134,AK133,AK130)</f>
        <v>0</v>
      </c>
      <c r="AM187" s="777">
        <f>SUM(AM185,AM169,AM163,AM147,AM145,AM137,AM136,AM135,AM132,AM134,AM133,AM130)</f>
        <v>0</v>
      </c>
      <c r="AO187" s="777">
        <f>SUM(AO185,AO169,AO163,AO147,AO145,AO137,AO136,AO135,AO132,AO134,AO133,AO130)</f>
        <v>36565186</v>
      </c>
      <c r="AQ187" s="777">
        <f>SUM(AQ185,AQ169,AQ163,AQ147,AQ145,AQ137,AQ136,AQ135,AQ132,AQ134,AQ133,AQ130)</f>
        <v>0</v>
      </c>
      <c r="AS187" s="777">
        <f>SUM(AS185,AS169,AS163,AS147,AS145,AS137,AS136,AS135,AS132,AS134,AS133,AS130)</f>
        <v>0</v>
      </c>
      <c r="AU187" s="777">
        <f>SUM(AU185,AU169,AU163,AU147,AU145,AU137,AU136,AU135,AU132,AU134,AU133,AU130)</f>
        <v>0</v>
      </c>
      <c r="AW187" s="777">
        <f>SUM(AW185,AW169,AW163,AW147,AW145,AW137,AW136,AW135,AW132,AW134,AW133,AW130)</f>
        <v>1646759</v>
      </c>
      <c r="AY187" s="777">
        <f>SUM(AY185,AY169,AY163,AY147,AY145,AY137,AY136,AY135,AY132,AY134,AY133,AY130)</f>
        <v>0</v>
      </c>
      <c r="BA187" s="777">
        <f>SUM(BA185,BA169,BA163,BA147,BA145,BA137,BA136,BA135,BA132,BA134,BA133,BA130)</f>
        <v>1646759</v>
      </c>
      <c r="BC187" s="777">
        <f>SUM(BC185,BC169,BC163,BC147,BC145,BC137,BC136,BC135,BC132,BC134,BC133,BC130)</f>
        <v>11585880</v>
      </c>
      <c r="BE187" s="777">
        <f>SUM(BE185,BE169,BE163,BE147,BE145,BE137,BE136,BE135,BE132,BE134,BE133,BE130)</f>
        <v>0</v>
      </c>
      <c r="BG187" s="777">
        <f>SUM(BG185,BG169,BG163,BG147,BG145,BG137,BG136,BG135,BG132,BG134,BG133,BG130)</f>
        <v>11585880</v>
      </c>
      <c r="BI187" s="777">
        <f>SUM(BI185,BI169,BI163,BI147,BI145,BI137,BI136,BI135,BI132,BI134,BI133,BI130)</f>
        <v>4314442</v>
      </c>
      <c r="BK187" s="777">
        <f>SUM(BK185,BK169,BK163,BK147,BK145,BK137,BK136,BK135,BK132,BK134,BK133,BK130)</f>
        <v>648773</v>
      </c>
      <c r="BM187" s="777">
        <f>SUM(BM185,BM169,BM163,BM147,BM145,BM137,BM136,BM135,BM132,BM134,BM133,BM130)</f>
        <v>4963215</v>
      </c>
      <c r="BO187" s="777">
        <f>SUM(BO185,BO169,BO163,BO147,BO145,BO137,BO136,BO135,BO132,BO134,BO133,BO130)</f>
        <v>170806</v>
      </c>
      <c r="BQ187" s="974">
        <f>SUM(BQ185,BQ169,BQ163,BQ147,BQ145,BQ137,BQ135,BQ134,BQ133,BQ130)</f>
        <v>0</v>
      </c>
      <c r="BS187" s="777">
        <f>SUM(BS185,BS169,BS163,BS147,BS145,BS137,BS136,BS135,BS132,BS134,BS133,BS130)</f>
        <v>0</v>
      </c>
      <c r="BU187" s="777">
        <f>SUM(BU185,BU169,BU163,BU147,BU145,BU137,BU136,BU135,BU132,BU134,BU133,BU130)</f>
        <v>170806</v>
      </c>
      <c r="BW187" s="777">
        <f>SUM(BW185,BW169,BW163,BW147,BW145,BW137,BW136,BW135,BW132,BW134,BW133,BW130)</f>
        <v>3942092</v>
      </c>
      <c r="BZ187" s="974">
        <f>SUM(BZ185,BZ169,BZ163,BZ147,BZ145,BZ137,BZ135,BZ134,BZ133,BZ130)</f>
        <v>0</v>
      </c>
      <c r="CB187" s="777">
        <f>SUM(CB185,CB169,CB163,CB147,CB145,CB137,CB135,CB134,CB133,CB130)</f>
        <v>0</v>
      </c>
      <c r="CD187" s="974">
        <f>SUM(CD185,CD169,CD163,CD147,CD145,CD137,CD135,CD134,CD133,CD130)</f>
        <v>0</v>
      </c>
      <c r="CF187" s="777">
        <f>SUM(CF185,CF169,CF163,CF147,CF145,CF137,CF136,CF135,CF132,CF134,CF133,CF130)</f>
        <v>0</v>
      </c>
      <c r="CH187" s="777">
        <f>SUM(CH185,CH169,CH163,CH147,CH145,CH137,CH136,CH135,CH132,CH134,CH133,CH130)</f>
        <v>3942092</v>
      </c>
      <c r="CJ187" s="777">
        <f>SUM(CJ185,CJ169,CJ163,CJ147,CJ145,CJ137,CJ136,CJ135,CJ132,CJ134,CJ133,CJ130)</f>
        <v>243449</v>
      </c>
      <c r="CL187" s="777">
        <f>SUM(CL185,CL169,CL163,CL147,CL145,CL137,CL136,CL135,CL132,CL134,CL133,CL130)</f>
        <v>0</v>
      </c>
      <c r="CN187" s="777">
        <f>SUM(CN185,CN169,CN163,CN147,CN145,CN137,CN136,CN135,CN132,CN134,CN133,CN130)</f>
        <v>243449</v>
      </c>
      <c r="CP187" s="777">
        <f>SUM(CP185,CP169,CP163,CP147,CP145,CP137,CP136,CP135,CP132,CP134,CP133,CP130)</f>
        <v>1279371</v>
      </c>
      <c r="CR187" s="777">
        <f>SUM(CR185,CR169,CR163,CR147,CR145,CR137,CR136,CR135,CR132,CR134,CR133,CR130)</f>
        <v>0</v>
      </c>
      <c r="CT187" s="777">
        <f>SUM(CT185,CT169,CT163,CT147,CT145,CT137,CT136,CT135,CT132,CT134,CT133,CT130)</f>
        <v>1279371</v>
      </c>
      <c r="CV187" s="777">
        <f>SUM(CV185,CV169,CV163,CV147,CV145,CV137,CV136,CV135,CV132,CV134,CV133,CV130)</f>
        <v>0</v>
      </c>
      <c r="CX187" s="777">
        <f>SUM(CX185,CX169,CX163,CX147,CX145,CX137,CX136,CX135,CX132,CX134,CX133,CX130)</f>
        <v>0</v>
      </c>
      <c r="CZ187" s="777">
        <f>SUM(CZ185,CZ169,CZ163,CZ147,CZ145,CZ137,CZ136,CZ135,CZ132,CZ134,CZ133,CZ130)</f>
        <v>0</v>
      </c>
      <c r="DB187" s="777">
        <f>SUM(DB185,DB169,DB163,DB147,DB145,DB137,DB136,DB135,DB132,DB134,DB133,DB130)</f>
        <v>1188448000</v>
      </c>
      <c r="DD187" s="777">
        <f>SUM(DD185,DD169,DD163,DD147,DD145,DD137,DD136,DD135,DD132,DD134,DD133,DD130)</f>
        <v>0</v>
      </c>
      <c r="DF187" s="777">
        <f>SUM(DF185,DF169,DF163,DF147,DF145,DF137,DF136,DF135,DF132,DF134,DF133,DF130)</f>
        <v>1188448000</v>
      </c>
      <c r="DH187" s="777">
        <f>SUM(DH185,DH169,DH163,DH147,DH145,DH137,DH136,DH135,DH132,DH134,DH133,DH130)</f>
        <v>123616</v>
      </c>
      <c r="DJ187" s="777">
        <f>SUM(DJ185,DJ169,DJ163,DJ147,DJ145,DJ137,DJ136,DJ135,DJ132,DJ134,DJ133,DJ130)</f>
        <v>0</v>
      </c>
      <c r="DL187" s="777">
        <f>SUM(DL185,DL169,DL163,DL147,DL145,DL137,DL136,DL135,DL132,DL134,DL133,DL130)</f>
        <v>123616</v>
      </c>
      <c r="DN187" s="777">
        <f>SUM(DN185,DN169,DN163,DN147,DN145,DN137,DN136,DN135,DN132,DN134,DN133,DN130)</f>
        <v>2325247</v>
      </c>
      <c r="DP187" s="777">
        <f>SUM(DP185,DP169,DP163,DP147,DP145,DP137,DP136,DP135,DP132,DP134,DP133,DP130)</f>
        <v>0</v>
      </c>
      <c r="DR187" s="777">
        <f>SUM(DR185,DR169,DR163,DR147,DR145,DR137,DR136,DR135,DR132,DR134,DR133,DR130)</f>
        <v>2325247</v>
      </c>
      <c r="DT187" s="777">
        <f>SUM(DT185,DT169,DT163,DT147,DT145,DT137,DT136,DT135,DT132,DT134,DT133,DT130)</f>
        <v>560116</v>
      </c>
      <c r="DV187" s="975">
        <f>SUM(DV185,DV169,DV163,DV147,DV145,DV137,DV135,DV134,DV133,DV130)</f>
        <v>0</v>
      </c>
      <c r="DX187" s="777">
        <f>SUM(DX185,DX169,DX163,DX147,DX145,DX137,DX136,DX135,DX132,DX134,DX133,DX130)</f>
        <v>0</v>
      </c>
      <c r="DZ187" s="777">
        <f>SUM(DZ185,DZ169,DZ163,DZ147,DZ145,DZ137,DZ136,DZ135,DZ132,DZ134,DZ133,DZ130)</f>
        <v>560116</v>
      </c>
      <c r="EB187" s="777">
        <f>SUM(EB185,EB169,EB163,EB147,EB145,EB137,EB136,EB135,EB132,EB134,EB133,EB130)</f>
        <v>6299719</v>
      </c>
      <c r="ED187" s="976">
        <f>SUM(ED185,ED169,ED163,ED147,ED145,ED137,ED135,ED134,ED133,ED130)</f>
        <v>0</v>
      </c>
      <c r="EF187" s="777">
        <f>SUM(EF185,EF169,EF163,EF147,EF145,EF137,EF136,EF135,EF132,EF134,EF133,EF130)</f>
        <v>0</v>
      </c>
      <c r="EH187" s="777">
        <f>SUM(EH185,EH169,EH163,EH147,EH145,EH137,EH136,EH135,EH132,EH134,EH133,EH130)</f>
        <v>6299719</v>
      </c>
      <c r="EJ187" s="777">
        <f>SUM(EJ185,EJ169,EJ163,EJ147,EJ145,EJ137,EJ136,EJ135,EJ132,EJ134,EJ133,EJ130)</f>
        <v>3323167986</v>
      </c>
      <c r="EL187" s="777">
        <f>SUM(EL185,EL169,EL163,EL147,EL145,EL137,EL136,EL135,EL132,EL134,EL133,EL130)</f>
        <v>0</v>
      </c>
      <c r="EN187" s="777">
        <f>SUM(EN185,EN169,EN163,EN147,EN145,EN137,EN136,EN135,EN132,EN134,EN133,EN130)</f>
        <v>3323167986</v>
      </c>
      <c r="EP187" s="777">
        <f>SUM(EP185,EP169,EP163,EP147,EP145,EP137,EP136,EP135,EP132,EP134,EP133,EP130)</f>
        <v>5514417168</v>
      </c>
      <c r="ER187" s="777">
        <f>SUM(ER185,ER169,ER163,ER147,ER145,ER137,ER136,ER135,ER132,ER134,ER133,ER130)</f>
        <v>0</v>
      </c>
      <c r="ET187" s="777">
        <f>SUM(ET185,ET169,ET163,ET147,ET145,ET137,ET136,ET135,ET132,ET134,ET133,ET130)</f>
        <v>5514417168</v>
      </c>
      <c r="EV187" s="777">
        <f>SUM(EV185,EV169,EV163,EV147,EV145,EV137,EV136,EV135,EV132,EV134,EV133,EV130)</f>
        <v>5677124505</v>
      </c>
      <c r="EX187" s="777">
        <f>SUM(EX185,EX169,EX163,EX147,EX145,EX137,EX136,EX135,EX132,EX134,EX133,EX130)</f>
        <v>1648397</v>
      </c>
      <c r="EZ187" s="777">
        <f>SUM(EZ185,EZ169,EZ163,EZ147,EZ145,EZ137,EZ136,EZ135,EZ132,EZ134,EZ133,EZ130)</f>
        <v>5678772902</v>
      </c>
      <c r="FB187" s="777">
        <f>SUM(FB185,FB169,FB163,FB147,FB145,FB137,FB135,FB134,FB133,FB130)</f>
        <v>0</v>
      </c>
      <c r="FD187" s="777">
        <f>SUM(FD185,FD169,FD163,FD147,FD145,FD137,FD135,FD134,FD133,FD130)</f>
        <v>0</v>
      </c>
      <c r="FF187" s="777">
        <f>SUM(FF185,FF169,FF163,FF147,FF145,FF137,FF136,FF135,FF132,FF134,FF133,FF130)</f>
        <v>4437318368</v>
      </c>
      <c r="FH187" s="777">
        <f>SUM(FH185,FH169,FH163,FH147,FH145,FH137,FH136,FH135,FH132,FH134,FH133,FH130)</f>
        <v>0</v>
      </c>
      <c r="FJ187" s="777">
        <f>SUM(FJ185,FJ169,FJ163,FJ147,FJ145,FJ137,FJ136,FJ135,FJ132,FJ134,FJ133,FJ130)</f>
        <v>4437318368</v>
      </c>
      <c r="FL187" s="777">
        <f>SUM(FL185,FL169,FL163,FL147,FL145,FL137,FL136,FL135,FL132,FL134,FL133,FL130)</f>
        <v>15911707</v>
      </c>
      <c r="FN187" s="777">
        <f>SUM(FN185,FN169,FN163,FN147,FN145,FN137,FN136,FN135,FN132,FN134,FN133,FN130)</f>
        <v>107644</v>
      </c>
      <c r="FP187" s="777">
        <f>SUM(FP185,FP169,FP163,FP147,FP145,FP137,FP136,FP135,FP132,FP134,FP133,FP130)</f>
        <v>16019351</v>
      </c>
      <c r="FR187" s="777">
        <f>SUM(FR185,FR169,FR163,FR147,FR145,FR137,FR136,FR135,FR132,FR134,FR133,FR130)</f>
        <v>117831989</v>
      </c>
      <c r="FT187" s="777">
        <f>SUM(FT185,FT169,FT163,FT147,FT145,FT137,FT136,FT135,FT132,FT134,FT133,FT130)</f>
        <v>18000</v>
      </c>
      <c r="FV187" s="777">
        <f>SUM(FV185,FV169,FV163,FV147,FV145,FV137,FV136,FV135,FV132,FV134,FV133,FV130)</f>
        <v>117849989</v>
      </c>
      <c r="FX187" s="777">
        <f>SUM(FX185,FX169,FX163,FX147,FX145,FX137,FX136,FX135,FX132,FX134,FX133,FX130)</f>
        <v>49918414</v>
      </c>
      <c r="FZ187" s="777">
        <f>SUM(FZ185,FZ169,FZ163,FZ147,FZ145,FZ137,FZ136,FZ135,FZ132,FZ134,FZ133,FZ130)</f>
        <v>0</v>
      </c>
      <c r="GB187" s="777">
        <f>SUM(GB185,GB169,GB163,GB147,GB145,GB137,GB136,GB135,GB132,GB134,GB133,GB130)</f>
        <v>49918414</v>
      </c>
      <c r="GD187" s="777">
        <v>7440169364</v>
      </c>
      <c r="GF187" s="777">
        <v>0</v>
      </c>
      <c r="GH187" s="777">
        <v>7440169364</v>
      </c>
      <c r="GK187" s="761">
        <f t="shared" ref="GK187" si="640">O187+U187+AA187+AG187+AO187+AU187+BA187+BG187+BM187+BU187+CH187+CN187+CT187+CZ187+DF187+DL187+DR187+DZ187+EH187+EN187+ET187+EZ187+FJ187+FP187+FV187+GB187</f>
        <v>20406365406</v>
      </c>
      <c r="GL187" s="973">
        <f t="shared" si="583"/>
        <v>20406365.405999999</v>
      </c>
      <c r="GM187" s="761">
        <f>O187+U187+AA187+AG187+AO187+BA187+BG187+BM187+BU187+CH187+CN187+CT187+DF187+DZ187+EH187+EN187+ET187+EZ187+FJ187+FP187+FV187</f>
        <v>20353998129</v>
      </c>
      <c r="GN187" s="973"/>
    </row>
    <row r="188" spans="1:196">
      <c r="J188" s="770">
        <v>157</v>
      </c>
      <c r="BQ188" s="952"/>
      <c r="BW188" s="761"/>
      <c r="BZ188" s="952"/>
      <c r="CB188" s="761"/>
      <c r="CD188" s="952"/>
      <c r="CP188" s="761"/>
      <c r="CV188" s="761"/>
      <c r="DB188" s="761"/>
      <c r="DH188" s="761"/>
      <c r="DN188" s="761"/>
      <c r="DT188" s="761"/>
      <c r="DV188" s="977"/>
      <c r="EB188" s="761"/>
      <c r="ED188" s="978"/>
      <c r="EJ188" s="761"/>
      <c r="EP188" s="761"/>
      <c r="EV188" s="761"/>
      <c r="FB188" s="761"/>
      <c r="FD188" s="761"/>
      <c r="GL188" s="973">
        <f t="shared" si="583"/>
        <v>0</v>
      </c>
      <c r="GN188" s="973"/>
    </row>
    <row r="189" spans="1:196">
      <c r="A189" s="763" t="s">
        <v>732</v>
      </c>
      <c r="J189" s="758">
        <v>158</v>
      </c>
      <c r="K189" s="775"/>
      <c r="M189" s="775"/>
      <c r="O189" s="775">
        <f t="shared" ref="O189" si="641">K189+M189</f>
        <v>0</v>
      </c>
      <c r="Q189" s="775">
        <v>40338</v>
      </c>
      <c r="S189" s="775"/>
      <c r="U189" s="775">
        <f t="shared" ref="U189" si="642">Q189+S189</f>
        <v>40338</v>
      </c>
      <c r="W189" s="775"/>
      <c r="Y189" s="775"/>
      <c r="AA189" s="775">
        <f t="shared" ref="AA189" si="643">W189+Y189</f>
        <v>0</v>
      </c>
      <c r="AC189" s="775"/>
      <c r="AE189" s="775"/>
      <c r="AG189" s="775">
        <f t="shared" ref="AG189" si="644">AC189+AE189</f>
        <v>0</v>
      </c>
      <c r="AI189" s="775">
        <v>4255692</v>
      </c>
      <c r="AK189" s="970">
        <v>0</v>
      </c>
      <c r="AM189" s="775"/>
      <c r="AO189" s="775">
        <f t="shared" ref="AO189" si="645">AI189+AM189</f>
        <v>4255692</v>
      </c>
      <c r="AQ189" s="775"/>
      <c r="AS189" s="775"/>
      <c r="AU189" s="775">
        <f t="shared" ref="AU189" si="646">AQ189+AS189</f>
        <v>0</v>
      </c>
      <c r="AW189" s="775"/>
      <c r="AY189" s="775"/>
      <c r="BA189" s="775">
        <f t="shared" ref="BA189" si="647">AW189+AY189</f>
        <v>0</v>
      </c>
      <c r="BC189" s="775">
        <v>1889529</v>
      </c>
      <c r="BE189" s="775"/>
      <c r="BG189" s="775">
        <f t="shared" ref="BG189" si="648">BC189+BE189</f>
        <v>1889529</v>
      </c>
      <c r="BI189" s="775"/>
      <c r="BK189" s="775"/>
      <c r="BM189" s="775">
        <f t="shared" ref="BM189" si="649">BI189+BK189</f>
        <v>0</v>
      </c>
      <c r="BO189" s="775"/>
      <c r="BQ189" s="970"/>
      <c r="BS189" s="775"/>
      <c r="BU189" s="775">
        <f t="shared" ref="BU189" si="650">BO189+BS189</f>
        <v>0</v>
      </c>
      <c r="BW189" s="776">
        <v>13085508</v>
      </c>
      <c r="BZ189" s="970"/>
      <c r="CB189" s="775"/>
      <c r="CD189" s="970"/>
      <c r="CF189" s="775"/>
      <c r="CH189" s="775">
        <f t="shared" ref="CH189" si="651">BW189+CF189</f>
        <v>13085508</v>
      </c>
      <c r="CJ189" s="775"/>
      <c r="CL189" s="775"/>
      <c r="CN189" s="775">
        <f t="shared" ref="CN189" si="652">CJ189+CL189</f>
        <v>0</v>
      </c>
      <c r="CP189" s="775"/>
      <c r="CR189" s="775"/>
      <c r="CT189" s="775">
        <f t="shared" ref="CT189" si="653">CP189+CR189</f>
        <v>0</v>
      </c>
      <c r="CV189" s="775"/>
      <c r="CX189" s="775"/>
      <c r="CZ189" s="775">
        <f t="shared" ref="CZ189" si="654">CV189+CX189</f>
        <v>0</v>
      </c>
      <c r="DB189" s="775">
        <v>18717000</v>
      </c>
      <c r="DD189" s="775"/>
      <c r="DF189" s="775">
        <f t="shared" ref="DF189" si="655">DB189+DD189</f>
        <v>18717000</v>
      </c>
      <c r="DH189" s="775"/>
      <c r="DJ189" s="775"/>
      <c r="DL189" s="775">
        <f t="shared" ref="DL189" si="656">DH189+DJ189</f>
        <v>0</v>
      </c>
      <c r="DN189" s="775"/>
      <c r="DP189" s="775"/>
      <c r="DR189" s="775">
        <f t="shared" ref="DR189" si="657">DN189+DP189</f>
        <v>0</v>
      </c>
      <c r="DT189" s="775">
        <v>202602</v>
      </c>
      <c r="DV189" s="971">
        <v>0</v>
      </c>
      <c r="DX189" s="775"/>
      <c r="DZ189" s="775">
        <f t="shared" ref="DZ189" si="658">DT189+DX189</f>
        <v>202602</v>
      </c>
      <c r="EB189" s="775">
        <v>909230</v>
      </c>
      <c r="ED189" s="972">
        <v>0</v>
      </c>
      <c r="EF189" s="775"/>
      <c r="EH189" s="775">
        <f t="shared" ref="EH189" si="659">EB189+EF189</f>
        <v>909230</v>
      </c>
      <c r="EJ189" s="776">
        <v>28443901</v>
      </c>
      <c r="EL189" s="775"/>
      <c r="EN189" s="775">
        <f t="shared" ref="EN189" si="660">EJ189+EL189</f>
        <v>28443901</v>
      </c>
      <c r="EP189" s="775">
        <v>66427925</v>
      </c>
      <c r="ER189" s="775"/>
      <c r="ET189" s="775">
        <f t="shared" ref="ET189" si="661">EP189+ER189</f>
        <v>66427925</v>
      </c>
      <c r="EV189" s="775">
        <v>60634106</v>
      </c>
      <c r="EX189" s="775"/>
      <c r="EZ189" s="775">
        <f t="shared" ref="EZ189" si="662">EV189+EX189</f>
        <v>60634106</v>
      </c>
      <c r="FB189" s="775"/>
      <c r="FD189" s="775"/>
      <c r="FF189" s="775"/>
      <c r="FH189" s="775"/>
      <c r="FJ189" s="775">
        <f t="shared" ref="FJ189" si="663">FF189+FH189</f>
        <v>0</v>
      </c>
      <c r="FL189" s="775"/>
      <c r="FN189" s="775"/>
      <c r="FP189" s="775">
        <f t="shared" ref="FP189" si="664">FL189+FN189</f>
        <v>0</v>
      </c>
      <c r="FR189" s="775">
        <v>668514</v>
      </c>
      <c r="FT189" s="775"/>
      <c r="FV189" s="775">
        <f t="shared" ref="FV189" si="665">FR189+FT189</f>
        <v>668514</v>
      </c>
      <c r="FX189" s="775"/>
      <c r="FZ189" s="775"/>
      <c r="GB189" s="775">
        <f t="shared" ref="GB189" si="666">FX189+FZ189</f>
        <v>0</v>
      </c>
      <c r="GD189" s="775">
        <v>27478500</v>
      </c>
      <c r="GF189" s="775"/>
      <c r="GH189" s="775">
        <v>27478500</v>
      </c>
      <c r="GK189" s="761">
        <f t="shared" ref="GK189" si="667">O189+U189+AA189+AG189+AO189+AU189+BA189+BG189+BM189+BU189+CH189+CN189+CT189+CZ189+DF189+DL189+DR189+DZ189+EH189+EN189+ET189+EZ189+FJ189+FP189+FV189+GB189</f>
        <v>195274345</v>
      </c>
      <c r="GL189" s="973">
        <f t="shared" si="583"/>
        <v>195274.345</v>
      </c>
      <c r="GM189" s="761">
        <f>O189+U189+AA189+AG189+AO189+BA189+BG189+BM189+BU189+CH189+CN189+CT189+DF189+DZ189+EH189+EN189+ET189+EZ189+FJ189+FP189+FV189</f>
        <v>195274345</v>
      </c>
      <c r="GN189" s="973"/>
    </row>
    <row r="190" spans="1:196">
      <c r="A190" s="763"/>
      <c r="I190" s="771"/>
      <c r="J190" s="770">
        <v>159</v>
      </c>
      <c r="BQ190" s="952"/>
      <c r="BW190" s="761"/>
      <c r="BZ190" s="952"/>
      <c r="CB190" s="761"/>
      <c r="CD190" s="952"/>
      <c r="CP190" s="761"/>
      <c r="CV190" s="761"/>
      <c r="DB190" s="761"/>
      <c r="DH190" s="761"/>
      <c r="DN190" s="761"/>
      <c r="DT190" s="761"/>
      <c r="DV190" s="977"/>
      <c r="EB190" s="761"/>
      <c r="ED190" s="978"/>
      <c r="EJ190" s="761"/>
      <c r="EP190" s="761"/>
      <c r="EV190" s="761"/>
      <c r="FB190" s="761"/>
      <c r="FD190" s="761"/>
      <c r="GL190" s="973">
        <f t="shared" si="583"/>
        <v>0</v>
      </c>
      <c r="GN190" s="973"/>
    </row>
    <row r="191" spans="1:196">
      <c r="A191" s="763" t="s">
        <v>733</v>
      </c>
      <c r="J191" s="758">
        <v>160</v>
      </c>
      <c r="K191" s="777">
        <f>SUM(K189,K187)</f>
        <v>0</v>
      </c>
      <c r="M191" s="777">
        <f>SUM(M189,M187)</f>
        <v>0</v>
      </c>
      <c r="O191" s="777">
        <f>SUM(O189,O187)</f>
        <v>0</v>
      </c>
      <c r="Q191" s="777">
        <f>SUM(Q189,Q187)</f>
        <v>2341454</v>
      </c>
      <c r="S191" s="777">
        <f>SUM(S189,S187)</f>
        <v>0</v>
      </c>
      <c r="U191" s="777">
        <f>SUM(U189,U187)</f>
        <v>2341454</v>
      </c>
      <c r="W191" s="777">
        <f>SUM(W189,W187)</f>
        <v>5852285</v>
      </c>
      <c r="Y191" s="777">
        <f>SUM(Y189,Y187)</f>
        <v>0</v>
      </c>
      <c r="AA191" s="777">
        <f>SUM(AA189,AA187)</f>
        <v>5852285</v>
      </c>
      <c r="AC191" s="777">
        <f>SUM(AC189,AC187)</f>
        <v>2591840</v>
      </c>
      <c r="AE191" s="777">
        <f>SUM(AE189,AE187)</f>
        <v>2531</v>
      </c>
      <c r="AG191" s="777">
        <f>SUM(AG189,AG187)</f>
        <v>2594371</v>
      </c>
      <c r="AI191" s="777">
        <f>SUM(AI189,AI187)</f>
        <v>40820878</v>
      </c>
      <c r="AK191" s="974">
        <f>SUM(AK189,AK187)</f>
        <v>0</v>
      </c>
      <c r="AM191" s="777">
        <f>SUM(AM189,AM187)</f>
        <v>0</v>
      </c>
      <c r="AO191" s="777">
        <f>SUM(AO189,AO187)</f>
        <v>40820878</v>
      </c>
      <c r="AQ191" s="777">
        <f>SUM(AQ189,AQ187)</f>
        <v>0</v>
      </c>
      <c r="AS191" s="777">
        <f>SUM(AS189,AS187)</f>
        <v>0</v>
      </c>
      <c r="AU191" s="777">
        <f>SUM(AU189,AU187)</f>
        <v>0</v>
      </c>
      <c r="AW191" s="777">
        <f>SUM(AW189,AW187)</f>
        <v>1646759</v>
      </c>
      <c r="AY191" s="777">
        <f>SUM(AY189,AY187)</f>
        <v>0</v>
      </c>
      <c r="BA191" s="777">
        <f>SUM(BA189,BA187)</f>
        <v>1646759</v>
      </c>
      <c r="BC191" s="777">
        <f>SUM(BC189,BC187)</f>
        <v>13475409</v>
      </c>
      <c r="BE191" s="777">
        <f>SUM(BE189,BE187)</f>
        <v>0</v>
      </c>
      <c r="BG191" s="777">
        <f>SUM(BG189,BG187)</f>
        <v>13475409</v>
      </c>
      <c r="BI191" s="777">
        <f>SUM(BI189,BI187)</f>
        <v>4314442</v>
      </c>
      <c r="BK191" s="777">
        <f>SUM(BK189,BK187)</f>
        <v>648773</v>
      </c>
      <c r="BM191" s="777">
        <f>SUM(BM189,BM187)</f>
        <v>4963215</v>
      </c>
      <c r="BO191" s="777">
        <f>SUM(BO189,BO187)</f>
        <v>170806</v>
      </c>
      <c r="BQ191" s="974">
        <f>SUM(BQ189,BQ187)</f>
        <v>0</v>
      </c>
      <c r="BS191" s="777">
        <f>SUM(BS189,BS187)</f>
        <v>0</v>
      </c>
      <c r="BU191" s="777">
        <f>SUM(BU189,BU187)</f>
        <v>170806</v>
      </c>
      <c r="BW191" s="777">
        <f>SUM(BW189,BW187)</f>
        <v>17027600</v>
      </c>
      <c r="BZ191" s="974">
        <f>SUM(BZ189,BZ187)</f>
        <v>0</v>
      </c>
      <c r="CB191" s="777">
        <f>SUM(CB189,CB187)</f>
        <v>0</v>
      </c>
      <c r="CD191" s="974">
        <f>SUM(CD189,CD187)</f>
        <v>0</v>
      </c>
      <c r="CF191" s="777">
        <f>SUM(CF189,CF187)</f>
        <v>0</v>
      </c>
      <c r="CH191" s="777">
        <f>SUM(CH189,CH187)</f>
        <v>17027600</v>
      </c>
      <c r="CJ191" s="777">
        <f>SUM(CJ189,CJ187)</f>
        <v>243449</v>
      </c>
      <c r="CL191" s="777">
        <f>SUM(CL189,CL187)</f>
        <v>0</v>
      </c>
      <c r="CN191" s="777">
        <f>SUM(CN189,CN187)</f>
        <v>243449</v>
      </c>
      <c r="CP191" s="777">
        <f>SUM(CP189,CP187)</f>
        <v>1279371</v>
      </c>
      <c r="CR191" s="777">
        <f>SUM(CR189,CR187)</f>
        <v>0</v>
      </c>
      <c r="CT191" s="777">
        <f>SUM(CT189,CT187)</f>
        <v>1279371</v>
      </c>
      <c r="CV191" s="777">
        <f>SUM(CV189,CV187)</f>
        <v>0</v>
      </c>
      <c r="CX191" s="777">
        <f>SUM(CX189,CX187)</f>
        <v>0</v>
      </c>
      <c r="CZ191" s="777">
        <f>SUM(CZ189,CZ187)</f>
        <v>0</v>
      </c>
      <c r="DB191" s="777">
        <f>SUM(DB189,DB187)</f>
        <v>1207165000</v>
      </c>
      <c r="DD191" s="777">
        <f>SUM(DD189,DD187)</f>
        <v>0</v>
      </c>
      <c r="DF191" s="777">
        <f>SUM(DF189,DF187)</f>
        <v>1207165000</v>
      </c>
      <c r="DH191" s="777">
        <f>SUM(DH189,DH187)</f>
        <v>123616</v>
      </c>
      <c r="DJ191" s="777">
        <f>SUM(DJ189,DJ187)</f>
        <v>0</v>
      </c>
      <c r="DL191" s="777">
        <f>SUM(DL189,DL187)</f>
        <v>123616</v>
      </c>
      <c r="DN191" s="777">
        <f>SUM(DN189,DN187)</f>
        <v>2325247</v>
      </c>
      <c r="DP191" s="777">
        <f>SUM(DP189,DP187)</f>
        <v>0</v>
      </c>
      <c r="DR191" s="777">
        <f>SUM(DR189,DR187)</f>
        <v>2325247</v>
      </c>
      <c r="DT191" s="777">
        <f>SUM(DT189,DT187)</f>
        <v>762718</v>
      </c>
      <c r="DV191" s="975">
        <f>SUM(DV189,DV187)</f>
        <v>0</v>
      </c>
      <c r="DX191" s="777">
        <f>SUM(DX189,DX187)</f>
        <v>0</v>
      </c>
      <c r="DZ191" s="777">
        <f>SUM(DZ189,DZ187)</f>
        <v>762718</v>
      </c>
      <c r="EB191" s="777">
        <f>SUM(EB189,EB187)</f>
        <v>7208949</v>
      </c>
      <c r="ED191" s="976">
        <f>SUM(ED189,ED187)</f>
        <v>0</v>
      </c>
      <c r="EF191" s="777">
        <f>SUM(EF189,EF187)</f>
        <v>0</v>
      </c>
      <c r="EH191" s="777">
        <f>SUM(EH189,EH187)</f>
        <v>7208949</v>
      </c>
      <c r="EJ191" s="777">
        <f>SUM(EJ189,EJ187)</f>
        <v>3351611887</v>
      </c>
      <c r="EL191" s="777">
        <f>SUM(EL189,EL187)</f>
        <v>0</v>
      </c>
      <c r="EN191" s="777">
        <f>SUM(EN189,EN187)</f>
        <v>3351611887</v>
      </c>
      <c r="EP191" s="777">
        <f>SUM(EP189,EP187)</f>
        <v>5580845093</v>
      </c>
      <c r="ER191" s="777">
        <f>SUM(ER189,ER187)</f>
        <v>0</v>
      </c>
      <c r="ET191" s="777">
        <f>SUM(ET189,ET187)</f>
        <v>5580845093</v>
      </c>
      <c r="EU191" s="777"/>
      <c r="EV191" s="777">
        <f t="shared" ref="EV191" si="668">SUM(EV189,EV187)</f>
        <v>5737758611</v>
      </c>
      <c r="EX191" s="777">
        <f>SUM(EX189,EX187)</f>
        <v>1648397</v>
      </c>
      <c r="EZ191" s="777">
        <f>SUM(EZ189,EZ187)</f>
        <v>5739407008</v>
      </c>
      <c r="FB191" s="777">
        <f>SUM(FB189,FB187)</f>
        <v>0</v>
      </c>
      <c r="FD191" s="777">
        <f>SUM(FD189,FD187)</f>
        <v>0</v>
      </c>
      <c r="FF191" s="777">
        <f>SUM(FF189,FF187)</f>
        <v>4437318368</v>
      </c>
      <c r="FH191" s="777">
        <f>SUM(FH189,FH187)</f>
        <v>0</v>
      </c>
      <c r="FJ191" s="777">
        <f>SUM(FJ189,FJ187)</f>
        <v>4437318368</v>
      </c>
      <c r="FL191" s="777">
        <f>SUM(FL189,FL187)</f>
        <v>15911707</v>
      </c>
      <c r="FN191" s="777">
        <f>SUM(FN189,FN187)</f>
        <v>107644</v>
      </c>
      <c r="FP191" s="777">
        <f>SUM(FP189,FP187)</f>
        <v>16019351</v>
      </c>
      <c r="FR191" s="777">
        <f>SUM(FR189,FR187)</f>
        <v>118500503</v>
      </c>
      <c r="FT191" s="777">
        <f>SUM(FT189,FT187)</f>
        <v>18000</v>
      </c>
      <c r="FV191" s="777">
        <f>SUM(FV189,FV187)</f>
        <v>118518503</v>
      </c>
      <c r="FX191" s="777">
        <f>SUM(FX189,FX187)</f>
        <v>49918414</v>
      </c>
      <c r="FZ191" s="777">
        <f>SUM(FZ189,FZ187)</f>
        <v>0</v>
      </c>
      <c r="GB191" s="777">
        <f>SUM(GB189,GB187)</f>
        <v>49918414</v>
      </c>
      <c r="GD191" s="777">
        <v>7467647864</v>
      </c>
      <c r="GF191" s="777">
        <v>0</v>
      </c>
      <c r="GH191" s="777">
        <v>7467647864</v>
      </c>
      <c r="GK191" s="761">
        <f t="shared" ref="GK191" si="669">O191+U191+AA191+AG191+AO191+AU191+BA191+BG191+BM191+BU191+CH191+CN191+CT191+CZ191+DF191+DL191+DR191+DZ191+EH191+EN191+ET191+EZ191+FJ191+FP191+FV191+GB191</f>
        <v>20601639751</v>
      </c>
      <c r="GL191" s="973">
        <f t="shared" si="583"/>
        <v>20601639.750999998</v>
      </c>
      <c r="GM191" s="761">
        <f>O191+U191+AA191+AG191+AO191+BA191+BG191+BM191+BU191+CH191+CN191+CT191+DF191+DZ191+EH191+EN191+ET191+EZ191+FJ191+FP191+FV191</f>
        <v>20549272474</v>
      </c>
      <c r="GN191" s="973"/>
    </row>
    <row r="192" spans="1:196">
      <c r="J192" s="770">
        <v>161</v>
      </c>
      <c r="BQ192" s="952"/>
      <c r="BW192" s="761"/>
      <c r="BZ192" s="952"/>
      <c r="CB192" s="761"/>
      <c r="CD192" s="952"/>
      <c r="CP192" s="761"/>
      <c r="CV192" s="761"/>
      <c r="DB192" s="761"/>
      <c r="DH192" s="761"/>
      <c r="DN192" s="761"/>
      <c r="DT192" s="761"/>
      <c r="DV192" s="977"/>
      <c r="EB192" s="761"/>
      <c r="ED192" s="978"/>
      <c r="EJ192" s="761"/>
      <c r="EP192" s="761"/>
      <c r="EV192" s="761"/>
      <c r="FB192" s="761"/>
      <c r="FD192" s="761"/>
      <c r="GL192" s="973">
        <f t="shared" si="583"/>
        <v>0</v>
      </c>
      <c r="GN192" s="973"/>
    </row>
    <row r="193" spans="1:198">
      <c r="A193" s="763" t="s">
        <v>734</v>
      </c>
      <c r="I193" s="771"/>
      <c r="J193" s="758">
        <v>162</v>
      </c>
      <c r="BQ193" s="952"/>
      <c r="BW193" s="761"/>
      <c r="BZ193" s="952"/>
      <c r="CB193" s="761"/>
      <c r="CD193" s="952"/>
      <c r="CP193" s="761"/>
      <c r="CV193" s="761"/>
      <c r="DB193" s="761"/>
      <c r="DH193" s="761"/>
      <c r="DN193" s="761"/>
      <c r="DT193" s="761"/>
      <c r="DV193" s="977"/>
      <c r="EB193" s="761"/>
      <c r="ED193" s="978"/>
      <c r="EJ193" s="761"/>
      <c r="EP193" s="761"/>
      <c r="EV193" s="761"/>
      <c r="FB193" s="761"/>
      <c r="FD193" s="761"/>
      <c r="GL193" s="973">
        <f t="shared" si="583"/>
        <v>0</v>
      </c>
      <c r="GN193" s="973"/>
    </row>
    <row r="194" spans="1:198">
      <c r="A194" s="766" t="s">
        <v>703</v>
      </c>
      <c r="J194" s="770">
        <v>163</v>
      </c>
      <c r="K194" s="775"/>
      <c r="M194" s="775"/>
      <c r="O194" s="775">
        <f t="shared" ref="O194" si="670">K194+M194</f>
        <v>0</v>
      </c>
      <c r="Q194" s="775">
        <v>8847564</v>
      </c>
      <c r="S194" s="775"/>
      <c r="U194" s="775">
        <f t="shared" ref="U194" si="671">Q194+S194</f>
        <v>8847564</v>
      </c>
      <c r="W194" s="775"/>
      <c r="Y194" s="775"/>
      <c r="AA194" s="775">
        <f t="shared" ref="AA194" si="672">W194+Y194</f>
        <v>0</v>
      </c>
      <c r="AC194" s="775"/>
      <c r="AE194" s="775"/>
      <c r="AG194" s="775">
        <f t="shared" ref="AG194" si="673">AC194+AE194</f>
        <v>0</v>
      </c>
      <c r="AI194" s="775">
        <v>1254776</v>
      </c>
      <c r="AK194" s="970">
        <v>0</v>
      </c>
      <c r="AM194" s="775"/>
      <c r="AO194" s="775">
        <f t="shared" ref="AO194" si="674">AI194+AM194</f>
        <v>1254776</v>
      </c>
      <c r="AQ194" s="775"/>
      <c r="AS194" s="775"/>
      <c r="AU194" s="775">
        <f t="shared" ref="AU194" si="675">AQ194+AS194</f>
        <v>0</v>
      </c>
      <c r="AW194" s="775"/>
      <c r="AY194" s="775"/>
      <c r="BA194" s="775">
        <f t="shared" ref="BA194" si="676">AW194+AY194</f>
        <v>0</v>
      </c>
      <c r="BC194" s="775">
        <v>1285638</v>
      </c>
      <c r="BE194" s="775"/>
      <c r="BG194" s="775">
        <f t="shared" ref="BG194" si="677">BC194+BE194</f>
        <v>1285638</v>
      </c>
      <c r="BI194" s="775"/>
      <c r="BK194" s="775"/>
      <c r="BM194" s="775">
        <f t="shared" ref="BM194" si="678">BI194+BK194</f>
        <v>0</v>
      </c>
      <c r="BO194" s="775"/>
      <c r="BQ194" s="970"/>
      <c r="BS194" s="775"/>
      <c r="BU194" s="775">
        <f t="shared" ref="BU194" si="679">BO194+BS194</f>
        <v>0</v>
      </c>
      <c r="BW194" s="775">
        <v>632914</v>
      </c>
      <c r="BZ194" s="970"/>
      <c r="CB194" s="775"/>
      <c r="CD194" s="970"/>
      <c r="CF194" s="775"/>
      <c r="CH194" s="775">
        <f t="shared" ref="CH194" si="680">BW194+CF194</f>
        <v>632914</v>
      </c>
      <c r="CJ194" s="775"/>
      <c r="CL194" s="775"/>
      <c r="CN194" s="775">
        <f t="shared" ref="CN194" si="681">CJ194+CL194</f>
        <v>0</v>
      </c>
      <c r="CP194" s="775">
        <v>4494</v>
      </c>
      <c r="CR194" s="775"/>
      <c r="CT194" s="775">
        <f t="shared" ref="CT194" si="682">CP194+CR194</f>
        <v>4494</v>
      </c>
      <c r="CV194" s="775">
        <v>84197</v>
      </c>
      <c r="CX194" s="775"/>
      <c r="CZ194" s="775">
        <f t="shared" ref="CZ194" si="683">CV194+CX194</f>
        <v>84197</v>
      </c>
      <c r="DB194" s="775">
        <v>981437000</v>
      </c>
      <c r="DD194" s="775"/>
      <c r="DF194" s="775">
        <f t="shared" ref="DF194" si="684">DB194+DD194</f>
        <v>981437000</v>
      </c>
      <c r="DH194" s="776"/>
      <c r="DJ194" s="775"/>
      <c r="DL194" s="775">
        <f t="shared" ref="DL194" si="685">DH194+DJ194</f>
        <v>0</v>
      </c>
      <c r="DN194" s="775">
        <v>4481</v>
      </c>
      <c r="DP194" s="775"/>
      <c r="DR194" s="775">
        <f t="shared" ref="DR194" si="686">DN194+DP194</f>
        <v>4481</v>
      </c>
      <c r="DT194" s="775">
        <v>4240101</v>
      </c>
      <c r="DV194" s="971">
        <v>0</v>
      </c>
      <c r="DX194" s="775"/>
      <c r="DZ194" s="775">
        <f t="shared" ref="DZ194" si="687">DT194+DX194</f>
        <v>4240101</v>
      </c>
      <c r="EB194" s="775">
        <v>148944792</v>
      </c>
      <c r="ED194" s="972"/>
      <c r="EF194" s="775"/>
      <c r="EH194" s="775">
        <f t="shared" ref="EH194" si="688">EB194+EF194</f>
        <v>148944792</v>
      </c>
      <c r="EJ194" s="775">
        <v>837</v>
      </c>
      <c r="EL194" s="775"/>
      <c r="EN194" s="775">
        <f t="shared" ref="EN194" si="689">EJ194+EL194</f>
        <v>837</v>
      </c>
      <c r="EP194" s="775">
        <v>8776652</v>
      </c>
      <c r="ER194" s="775"/>
      <c r="ET194" s="775">
        <f t="shared" ref="ET194" si="690">EP194+ER194</f>
        <v>8776652</v>
      </c>
      <c r="EV194" s="775">
        <v>474318464</v>
      </c>
      <c r="EX194" s="775"/>
      <c r="EZ194" s="775">
        <f t="shared" ref="EZ194" si="691">EV194+EX194</f>
        <v>474318464</v>
      </c>
      <c r="FB194" s="775"/>
      <c r="FD194" s="775"/>
      <c r="FF194" s="775"/>
      <c r="FH194" s="775"/>
      <c r="FJ194" s="775">
        <f t="shared" ref="FJ194" si="692">FF194+FH194</f>
        <v>0</v>
      </c>
      <c r="FL194" s="775">
        <v>42585</v>
      </c>
      <c r="FN194" s="775"/>
      <c r="FP194" s="775">
        <f t="shared" ref="FP194" si="693">FL194+FN194</f>
        <v>42585</v>
      </c>
      <c r="FR194" s="775">
        <v>627289104</v>
      </c>
      <c r="FT194" s="775"/>
      <c r="FV194" s="775">
        <f t="shared" ref="FV194" si="694">FR194+FT194</f>
        <v>627289104</v>
      </c>
      <c r="FX194" s="775">
        <v>332589</v>
      </c>
      <c r="FZ194" s="775"/>
      <c r="GB194" s="775">
        <f t="shared" ref="GB194" si="695">FX194+FZ194</f>
        <v>332589</v>
      </c>
      <c r="GD194" s="775"/>
      <c r="GF194" s="775"/>
      <c r="GH194" s="775">
        <v>0</v>
      </c>
      <c r="GK194" s="761">
        <f t="shared" ref="GK194" si="696">O194+U194+AA194+AG194+AO194+AU194+BA194+BG194+BM194+BU194+CH194+CN194+CT194+CZ194+DF194+DL194+DR194+DZ194+EH194+EN194+ET194+EZ194+FJ194+FP194+FV194+GB194</f>
        <v>2257496188</v>
      </c>
      <c r="GL194" s="973">
        <f t="shared" si="583"/>
        <v>2257496.1880000001</v>
      </c>
      <c r="GM194" s="761">
        <f>O194+U194+AA194+AG194+AO194+BA194+BG194+BM194+BU194+CH194+CN194+CT194+DF194+DZ194+EH194+EN194+ET194+EZ194+FJ194+FP194+FV194</f>
        <v>2257074921</v>
      </c>
      <c r="GN194" s="973"/>
    </row>
    <row r="195" spans="1:198">
      <c r="A195" s="758" t="s">
        <v>146</v>
      </c>
      <c r="J195" s="758">
        <v>164</v>
      </c>
      <c r="BQ195" s="952"/>
      <c r="BW195" s="761"/>
      <c r="BZ195" s="952"/>
      <c r="CB195" s="761"/>
      <c r="CD195" s="952"/>
      <c r="CP195" s="761"/>
      <c r="CV195" s="761"/>
      <c r="DB195" s="761"/>
      <c r="DH195" s="761"/>
      <c r="DN195" s="761"/>
      <c r="DT195" s="761"/>
      <c r="DV195" s="977"/>
      <c r="EB195" s="761"/>
      <c r="ED195" s="978"/>
      <c r="EJ195" s="761"/>
      <c r="EP195" s="761"/>
      <c r="EV195" s="761"/>
      <c r="FB195" s="761"/>
      <c r="FD195" s="761"/>
      <c r="GL195" s="973">
        <f t="shared" si="583"/>
        <v>0</v>
      </c>
      <c r="GN195" s="973"/>
    </row>
    <row r="196" spans="1:198">
      <c r="B196" s="758" t="s">
        <v>691</v>
      </c>
      <c r="I196" s="771"/>
      <c r="J196" s="770">
        <v>165</v>
      </c>
      <c r="K196" s="775"/>
      <c r="M196" s="775"/>
      <c r="O196" s="775">
        <f t="shared" ref="O196" si="697">K196+M196</f>
        <v>0</v>
      </c>
      <c r="Q196" s="775">
        <v>75807</v>
      </c>
      <c r="S196" s="775"/>
      <c r="U196" s="775">
        <f t="shared" ref="U196" si="698">Q196+S196</f>
        <v>75807</v>
      </c>
      <c r="W196" s="775"/>
      <c r="Y196" s="775"/>
      <c r="AA196" s="775">
        <f t="shared" ref="AA196" si="699">W196+Y196</f>
        <v>0</v>
      </c>
      <c r="AC196" s="775"/>
      <c r="AE196" s="775"/>
      <c r="AG196" s="775">
        <f t="shared" ref="AG196" si="700">AC196+AE196</f>
        <v>0</v>
      </c>
      <c r="AI196" s="775"/>
      <c r="AK196" s="970">
        <v>0</v>
      </c>
      <c r="AM196" s="775"/>
      <c r="AO196" s="775">
        <f t="shared" ref="AO196" si="701">AI196+AM196</f>
        <v>0</v>
      </c>
      <c r="AQ196" s="775"/>
      <c r="AS196" s="775"/>
      <c r="AU196" s="775">
        <f t="shared" ref="AU196" si="702">AQ196+AS196</f>
        <v>0</v>
      </c>
      <c r="AW196" s="775"/>
      <c r="AY196" s="775"/>
      <c r="BA196" s="775">
        <f t="shared" ref="BA196" si="703">AW196+AY196</f>
        <v>0</v>
      </c>
      <c r="BC196" s="775"/>
      <c r="BE196" s="775"/>
      <c r="BG196" s="775">
        <f t="shared" ref="BG196" si="704">BC196+BE196</f>
        <v>0</v>
      </c>
      <c r="BI196" s="775"/>
      <c r="BK196" s="775"/>
      <c r="BM196" s="775">
        <f t="shared" ref="BM196" si="705">BI196+BK196</f>
        <v>0</v>
      </c>
      <c r="BO196" s="775"/>
      <c r="BQ196" s="970"/>
      <c r="BS196" s="775"/>
      <c r="BU196" s="775">
        <f t="shared" ref="BU196" si="706">BO196+BS196</f>
        <v>0</v>
      </c>
      <c r="BW196" s="775">
        <v>736302</v>
      </c>
      <c r="BZ196" s="970"/>
      <c r="CB196" s="775"/>
      <c r="CD196" s="970"/>
      <c r="CF196" s="775"/>
      <c r="CH196" s="775">
        <f t="shared" ref="CH196" si="707">BW196+CF196</f>
        <v>736302</v>
      </c>
      <c r="CJ196" s="775"/>
      <c r="CL196" s="775"/>
      <c r="CN196" s="775">
        <f t="shared" ref="CN196" si="708">CJ196+CL196</f>
        <v>0</v>
      </c>
      <c r="CP196" s="775"/>
      <c r="CR196" s="775"/>
      <c r="CT196" s="775">
        <f t="shared" ref="CT196" si="709">CP196+CR196</f>
        <v>0</v>
      </c>
      <c r="CV196" s="775">
        <v>254039</v>
      </c>
      <c r="CX196" s="775"/>
      <c r="CZ196" s="775">
        <f t="shared" ref="CZ196" si="710">CV196+CX196</f>
        <v>254039</v>
      </c>
      <c r="DB196" s="775"/>
      <c r="DD196" s="775"/>
      <c r="DF196" s="775">
        <f t="shared" ref="DF196" si="711">DB196+DD196</f>
        <v>0</v>
      </c>
      <c r="DH196" s="775"/>
      <c r="DJ196" s="775">
        <v>2329500</v>
      </c>
      <c r="DL196" s="775">
        <f t="shared" ref="DL196" si="712">DH196+DJ196</f>
        <v>2329500</v>
      </c>
      <c r="DN196" s="775">
        <v>8023776</v>
      </c>
      <c r="DP196" s="775"/>
      <c r="DR196" s="775">
        <f t="shared" ref="DR196" si="713">DN196+DP196</f>
        <v>8023776</v>
      </c>
      <c r="DT196" s="775"/>
      <c r="DV196" s="971">
        <v>0</v>
      </c>
      <c r="DX196" s="775"/>
      <c r="DZ196" s="775">
        <f t="shared" ref="DZ196" si="714">DT196+DX196</f>
        <v>0</v>
      </c>
      <c r="EB196" s="775"/>
      <c r="ED196" s="972">
        <v>0</v>
      </c>
      <c r="EF196" s="775"/>
      <c r="EH196" s="775">
        <f t="shared" ref="EH196" si="715">EB196+EF196</f>
        <v>0</v>
      </c>
      <c r="EJ196" s="775"/>
      <c r="EL196" s="775"/>
      <c r="EN196" s="775">
        <f t="shared" ref="EN196" si="716">EJ196+EL196</f>
        <v>0</v>
      </c>
      <c r="EP196" s="775"/>
      <c r="ER196" s="775"/>
      <c r="ET196" s="775">
        <f t="shared" ref="ET196" si="717">EP196+ER196</f>
        <v>0</v>
      </c>
      <c r="EV196" s="775"/>
      <c r="EX196" s="775"/>
      <c r="EZ196" s="775">
        <f t="shared" ref="EZ196" si="718">EV196+EX196</f>
        <v>0</v>
      </c>
      <c r="FB196" s="775">
        <v>0</v>
      </c>
      <c r="FD196" s="775"/>
      <c r="FF196" s="775"/>
      <c r="FH196" s="775"/>
      <c r="FJ196" s="775">
        <f t="shared" ref="FJ196" si="719">FF196+FH196</f>
        <v>0</v>
      </c>
      <c r="FL196" s="775"/>
      <c r="FN196" s="775"/>
      <c r="FP196" s="775">
        <f t="shared" ref="FP196" si="720">FL196+FN196</f>
        <v>0</v>
      </c>
      <c r="FR196" s="775"/>
      <c r="FT196" s="775"/>
      <c r="FV196" s="775">
        <f t="shared" ref="FV196" si="721">FR196+FT196</f>
        <v>0</v>
      </c>
      <c r="FX196" s="775">
        <v>172550376</v>
      </c>
      <c r="FZ196" s="775"/>
      <c r="GB196" s="775">
        <f t="shared" ref="GB196" si="722">FX196+FZ196</f>
        <v>172550376</v>
      </c>
      <c r="GD196" s="775"/>
      <c r="GF196" s="775"/>
      <c r="GH196" s="775">
        <v>0</v>
      </c>
      <c r="GK196" s="761">
        <f t="shared" ref="GK196" si="723">O196+U196+AA196+AG196+AO196+AU196+BA196+BG196+BM196+BU196+CH196+CN196+CT196+CZ196+DF196+DL196+DR196+DZ196+EH196+EN196+ET196+EZ196+FJ196+FP196+FV196+GB196</f>
        <v>183969800</v>
      </c>
      <c r="GL196" s="973">
        <f t="shared" si="583"/>
        <v>183969.8</v>
      </c>
      <c r="GM196" s="761">
        <f>O196+U196+AA196+AG196+AO196+BA196+BG196+BM196+BU196+CH196+CN196+CT196+DF196+DZ196+EH196+EN196+ET196+EZ196+FJ196+FP196+FV196</f>
        <v>812109</v>
      </c>
      <c r="GN196" s="973"/>
    </row>
    <row r="197" spans="1:198">
      <c r="J197" s="758">
        <v>166</v>
      </c>
      <c r="BQ197" s="952"/>
      <c r="BW197" s="761"/>
      <c r="BZ197" s="952"/>
      <c r="CB197" s="761"/>
      <c r="CD197" s="952"/>
      <c r="CP197" s="761"/>
      <c r="CV197" s="761"/>
      <c r="DB197" s="761"/>
      <c r="DH197" s="761"/>
      <c r="DN197" s="761"/>
      <c r="DT197" s="761"/>
      <c r="DV197" s="977"/>
      <c r="EB197" s="761"/>
      <c r="ED197" s="978"/>
      <c r="EJ197" s="761"/>
      <c r="EP197" s="761"/>
      <c r="EV197" s="761"/>
      <c r="FB197" s="761"/>
      <c r="FD197" s="761"/>
      <c r="GL197" s="973">
        <f t="shared" si="583"/>
        <v>0</v>
      </c>
      <c r="GN197" s="973"/>
    </row>
    <row r="198" spans="1:198">
      <c r="B198" s="758" t="s">
        <v>624</v>
      </c>
      <c r="J198" s="770">
        <v>167</v>
      </c>
      <c r="BQ198" s="952"/>
      <c r="BW198" s="761"/>
      <c r="BZ198" s="952"/>
      <c r="CB198" s="761"/>
      <c r="CD198" s="952"/>
      <c r="CP198" s="761"/>
      <c r="CV198" s="761"/>
      <c r="DB198" s="761"/>
      <c r="DH198" s="761"/>
      <c r="DN198" s="761"/>
      <c r="DT198" s="761"/>
      <c r="DV198" s="977"/>
      <c r="EB198" s="761"/>
      <c r="ED198" s="978"/>
      <c r="EJ198" s="761"/>
      <c r="EP198" s="761"/>
      <c r="EV198" s="761"/>
      <c r="FB198" s="761"/>
      <c r="FD198" s="761"/>
      <c r="GL198" s="973">
        <f t="shared" si="583"/>
        <v>0</v>
      </c>
      <c r="GN198" s="973"/>
    </row>
    <row r="199" spans="1:198">
      <c r="C199" s="758" t="s">
        <v>1730</v>
      </c>
      <c r="I199" s="771"/>
      <c r="J199" s="758">
        <v>168</v>
      </c>
      <c r="K199" s="775"/>
      <c r="M199" s="775"/>
      <c r="O199" s="775">
        <f t="shared" ref="O199:O206" si="724">K199+M199</f>
        <v>0</v>
      </c>
      <c r="Q199" s="775"/>
      <c r="S199" s="775"/>
      <c r="U199" s="775">
        <f t="shared" ref="U199:U206" si="725">Q199+S199</f>
        <v>0</v>
      </c>
      <c r="W199" s="775"/>
      <c r="Y199" s="775"/>
      <c r="AA199" s="775">
        <f t="shared" ref="AA199:AA206" si="726">W199+Y199</f>
        <v>0</v>
      </c>
      <c r="AC199" s="775"/>
      <c r="AE199" s="775"/>
      <c r="AG199" s="775">
        <f t="shared" ref="AG199:AG206" si="727">AC199+AE199</f>
        <v>0</v>
      </c>
      <c r="AI199" s="775"/>
      <c r="AK199" s="970">
        <v>0</v>
      </c>
      <c r="AM199" s="775"/>
      <c r="AO199" s="775">
        <f t="shared" ref="AO199:AO206" si="728">AI199+AM199</f>
        <v>0</v>
      </c>
      <c r="AQ199" s="775"/>
      <c r="AS199" s="775"/>
      <c r="AU199" s="775">
        <f t="shared" ref="AU199:AU206" si="729">AQ199+AS199</f>
        <v>0</v>
      </c>
      <c r="AW199" s="775"/>
      <c r="AY199" s="775"/>
      <c r="BA199" s="775">
        <f t="shared" ref="BA199:BA206" si="730">AW199+AY199</f>
        <v>0</v>
      </c>
      <c r="BC199" s="775"/>
      <c r="BE199" s="775"/>
      <c r="BG199" s="775">
        <f t="shared" ref="BG199:BG206" si="731">BC199+BE199</f>
        <v>0</v>
      </c>
      <c r="BI199" s="775">
        <v>160928785</v>
      </c>
      <c r="BK199" s="775"/>
      <c r="BM199" s="775">
        <f t="shared" ref="BM199:BM206" si="732">BI199+BK199</f>
        <v>160928785</v>
      </c>
      <c r="BO199" s="775"/>
      <c r="BQ199" s="970"/>
      <c r="BS199" s="775"/>
      <c r="BU199" s="775">
        <f t="shared" ref="BU199:BU206" si="733">BO199+BS199</f>
        <v>0</v>
      </c>
      <c r="BW199" s="775"/>
      <c r="BZ199" s="970"/>
      <c r="CB199" s="775"/>
      <c r="CD199" s="970"/>
      <c r="CF199" s="775"/>
      <c r="CH199" s="775">
        <f t="shared" ref="CH199:CH206" si="734">BW199+CF199</f>
        <v>0</v>
      </c>
      <c r="CJ199" s="775"/>
      <c r="CL199" s="775"/>
      <c r="CN199" s="775">
        <f t="shared" ref="CN199:CN206" si="735">CJ199+CL199</f>
        <v>0</v>
      </c>
      <c r="CP199" s="775"/>
      <c r="CR199" s="775"/>
      <c r="CT199" s="775">
        <f t="shared" ref="CT199:CT206" si="736">CP199+CR199</f>
        <v>0</v>
      </c>
      <c r="CV199" s="775"/>
      <c r="CX199" s="775"/>
      <c r="CZ199" s="775">
        <f t="shared" ref="CZ199:CZ206" si="737">CV199+CX199</f>
        <v>0</v>
      </c>
      <c r="DB199" s="775"/>
      <c r="DD199" s="775"/>
      <c r="DF199" s="775">
        <f t="shared" ref="DF199:DF206" si="738">DB199+DD199</f>
        <v>0</v>
      </c>
      <c r="DH199" s="775"/>
      <c r="DJ199" s="775"/>
      <c r="DL199" s="775">
        <f t="shared" ref="DL199:DL206" si="739">DH199+DJ199</f>
        <v>0</v>
      </c>
      <c r="DN199" s="775">
        <v>1118954</v>
      </c>
      <c r="DP199" s="775"/>
      <c r="DR199" s="775">
        <f t="shared" ref="DR199:DR206" si="740">DN199+DP199</f>
        <v>1118954</v>
      </c>
      <c r="DT199" s="775"/>
      <c r="DV199" s="971">
        <v>0</v>
      </c>
      <c r="DX199" s="775"/>
      <c r="DZ199" s="775">
        <f t="shared" ref="DZ199:DZ206" si="741">DT199+DX199</f>
        <v>0</v>
      </c>
      <c r="EB199" s="775"/>
      <c r="ED199" s="972">
        <v>0</v>
      </c>
      <c r="EF199" s="775"/>
      <c r="EH199" s="775">
        <f t="shared" ref="EH199:EH206" si="742">EB199+EF199</f>
        <v>0</v>
      </c>
      <c r="EJ199" s="775">
        <v>2177773856</v>
      </c>
      <c r="EL199" s="775"/>
      <c r="EN199" s="775">
        <f t="shared" ref="EN199:EN206" si="743">EJ199+EL199</f>
        <v>2177773856</v>
      </c>
      <c r="EP199" s="775"/>
      <c r="ER199" s="775"/>
      <c r="ET199" s="775">
        <f t="shared" ref="ET199:ET206" si="744">EP199+ER199</f>
        <v>0</v>
      </c>
      <c r="EV199" s="775"/>
      <c r="EX199" s="775"/>
      <c r="EZ199" s="775">
        <f t="shared" ref="EZ199:EZ206" si="745">EV199+EX199</f>
        <v>0</v>
      </c>
      <c r="FB199" s="775"/>
      <c r="FD199" s="775"/>
      <c r="FF199" s="775"/>
      <c r="FH199" s="775"/>
      <c r="FJ199" s="775">
        <f t="shared" ref="FJ199:FJ206" si="746">FF199+FH199</f>
        <v>0</v>
      </c>
      <c r="FL199" s="775"/>
      <c r="FN199" s="775"/>
      <c r="FP199" s="775">
        <f t="shared" ref="FP199:FP206" si="747">FL199+FN199</f>
        <v>0</v>
      </c>
      <c r="FR199" s="775">
        <v>129510571</v>
      </c>
      <c r="FT199" s="775"/>
      <c r="FV199" s="775">
        <f t="shared" ref="FV199:FV206" si="748">FR199+FT199</f>
        <v>129510571</v>
      </c>
      <c r="FX199" s="776">
        <v>8003483</v>
      </c>
      <c r="FZ199" s="775"/>
      <c r="GB199" s="775">
        <f t="shared" ref="GB199:GB206" si="749">FX199+FZ199</f>
        <v>8003483</v>
      </c>
      <c r="GD199" s="776">
        <v>429945259</v>
      </c>
      <c r="GF199" s="775"/>
      <c r="GH199" s="775">
        <v>429945259</v>
      </c>
      <c r="GK199" s="761">
        <f t="shared" ref="GK199:GK205" si="750">O199+U199+AA199+AG199+AO199+AU199+BA199+BG199+BM199+BU199+CH199+CN199+CT199+CZ199+DF199+DL199+DR199+DZ199+EH199+EN199+ET199+EZ199+FJ199+FP199+FV199+GB199</f>
        <v>2477335649</v>
      </c>
      <c r="GL199" s="973">
        <f t="shared" si="583"/>
        <v>2477335.6490000002</v>
      </c>
      <c r="GM199" s="761">
        <f t="shared" ref="GM199:GM207" si="751">O199+U199+AA199+AG199+AO199+BA199+BG199+BM199+BU199+CH199+CN199+CT199+DF199+DZ199+EH199+EN199+ET199+EZ199+FJ199+FP199+FV199</f>
        <v>2468213212</v>
      </c>
      <c r="GN199" s="973"/>
    </row>
    <row r="200" spans="1:198">
      <c r="C200" s="758" t="s">
        <v>1125</v>
      </c>
      <c r="J200" s="770">
        <v>169</v>
      </c>
      <c r="K200" s="775"/>
      <c r="M200" s="775"/>
      <c r="O200" s="775">
        <f t="shared" si="724"/>
        <v>0</v>
      </c>
      <c r="Q200" s="775"/>
      <c r="S200" s="775"/>
      <c r="U200" s="775">
        <f t="shared" si="725"/>
        <v>0</v>
      </c>
      <c r="W200" s="775"/>
      <c r="Y200" s="775"/>
      <c r="AA200" s="775">
        <f t="shared" si="726"/>
        <v>0</v>
      </c>
      <c r="AC200" s="775"/>
      <c r="AE200" s="775"/>
      <c r="AG200" s="775">
        <f t="shared" si="727"/>
        <v>0</v>
      </c>
      <c r="AI200" s="775">
        <v>761864</v>
      </c>
      <c r="AK200" s="970">
        <v>0</v>
      </c>
      <c r="AM200" s="775">
        <v>740</v>
      </c>
      <c r="AO200" s="775">
        <f t="shared" si="728"/>
        <v>762604</v>
      </c>
      <c r="AQ200" s="775"/>
      <c r="AS200" s="775"/>
      <c r="AU200" s="775">
        <f t="shared" si="729"/>
        <v>0</v>
      </c>
      <c r="AW200" s="775"/>
      <c r="AY200" s="775"/>
      <c r="BA200" s="775">
        <f t="shared" si="730"/>
        <v>0</v>
      </c>
      <c r="BC200" s="775">
        <v>348875</v>
      </c>
      <c r="BE200" s="775"/>
      <c r="BG200" s="775">
        <f t="shared" si="731"/>
        <v>348875</v>
      </c>
      <c r="BI200" s="775"/>
      <c r="BK200" s="775"/>
      <c r="BM200" s="775">
        <f t="shared" si="732"/>
        <v>0</v>
      </c>
      <c r="BO200" s="775"/>
      <c r="BQ200" s="970"/>
      <c r="BS200" s="775"/>
      <c r="BU200" s="775">
        <f t="shared" si="733"/>
        <v>0</v>
      </c>
      <c r="BW200" s="775">
        <v>117796</v>
      </c>
      <c r="BZ200" s="970"/>
      <c r="CB200" s="775"/>
      <c r="CD200" s="970"/>
      <c r="CF200" s="775">
        <v>-12613</v>
      </c>
      <c r="CH200" s="775">
        <f t="shared" si="734"/>
        <v>105183</v>
      </c>
      <c r="CJ200" s="775"/>
      <c r="CL200" s="775"/>
      <c r="CN200" s="775">
        <f t="shared" si="735"/>
        <v>0</v>
      </c>
      <c r="CP200" s="775"/>
      <c r="CR200" s="775"/>
      <c r="CT200" s="775">
        <f t="shared" si="736"/>
        <v>0</v>
      </c>
      <c r="CV200" s="775"/>
      <c r="CX200" s="775"/>
      <c r="CZ200" s="775">
        <f t="shared" si="737"/>
        <v>0</v>
      </c>
      <c r="DB200" s="775"/>
      <c r="DD200" s="775"/>
      <c r="DF200" s="775">
        <f t="shared" si="738"/>
        <v>0</v>
      </c>
      <c r="DH200" s="775"/>
      <c r="DJ200" s="775"/>
      <c r="DL200" s="775">
        <f t="shared" si="739"/>
        <v>0</v>
      </c>
      <c r="DN200" s="775"/>
      <c r="DP200" s="775"/>
      <c r="DR200" s="775">
        <f t="shared" si="740"/>
        <v>0</v>
      </c>
      <c r="DT200" s="775"/>
      <c r="DV200" s="971">
        <v>0</v>
      </c>
      <c r="DX200" s="775"/>
      <c r="DZ200" s="775">
        <f t="shared" si="741"/>
        <v>0</v>
      </c>
      <c r="EB200" s="775"/>
      <c r="ED200" s="972">
        <v>0</v>
      </c>
      <c r="EF200" s="775"/>
      <c r="EH200" s="775">
        <f t="shared" si="742"/>
        <v>0</v>
      </c>
      <c r="EJ200" s="775"/>
      <c r="EL200" s="775"/>
      <c r="EN200" s="775">
        <f t="shared" si="743"/>
        <v>0</v>
      </c>
      <c r="EP200" s="775"/>
      <c r="ER200" s="775"/>
      <c r="ET200" s="775">
        <f t="shared" si="744"/>
        <v>0</v>
      </c>
      <c r="EV200" s="775"/>
      <c r="EX200" s="775"/>
      <c r="EZ200" s="775">
        <f t="shared" si="745"/>
        <v>0</v>
      </c>
      <c r="FB200" s="775"/>
      <c r="FD200" s="775"/>
      <c r="FF200" s="775"/>
      <c r="FH200" s="775"/>
      <c r="FJ200" s="775">
        <f t="shared" si="746"/>
        <v>0</v>
      </c>
      <c r="FL200" s="775"/>
      <c r="FN200" s="775"/>
      <c r="FP200" s="775">
        <f t="shared" si="747"/>
        <v>0</v>
      </c>
      <c r="FR200" s="775"/>
      <c r="FT200" s="775">
        <v>68813</v>
      </c>
      <c r="FV200" s="775">
        <f t="shared" si="748"/>
        <v>68813</v>
      </c>
      <c r="FX200" s="776"/>
      <c r="FZ200" s="775"/>
      <c r="GB200" s="775">
        <f t="shared" si="749"/>
        <v>0</v>
      </c>
      <c r="GD200" s="776"/>
      <c r="GF200" s="775"/>
      <c r="GH200" s="775">
        <v>0</v>
      </c>
      <c r="GK200" s="761">
        <f t="shared" si="750"/>
        <v>1285475</v>
      </c>
      <c r="GL200" s="973">
        <f t="shared" si="583"/>
        <v>1285.4749999999999</v>
      </c>
      <c r="GM200" s="761">
        <f t="shared" si="751"/>
        <v>1285475</v>
      </c>
      <c r="GN200" s="973"/>
    </row>
    <row r="201" spans="1:198">
      <c r="C201" s="758" t="s">
        <v>591</v>
      </c>
      <c r="J201" s="758">
        <v>170</v>
      </c>
      <c r="K201" s="775"/>
      <c r="M201" s="775"/>
      <c r="O201" s="775">
        <f t="shared" si="724"/>
        <v>0</v>
      </c>
      <c r="Q201" s="775"/>
      <c r="S201" s="775"/>
      <c r="U201" s="775">
        <f t="shared" si="725"/>
        <v>0</v>
      </c>
      <c r="W201" s="775"/>
      <c r="Y201" s="775"/>
      <c r="AA201" s="775">
        <f t="shared" si="726"/>
        <v>0</v>
      </c>
      <c r="AC201" s="775"/>
      <c r="AE201" s="775"/>
      <c r="AG201" s="775">
        <f t="shared" si="727"/>
        <v>0</v>
      </c>
      <c r="AI201" s="775"/>
      <c r="AK201" s="970">
        <v>0</v>
      </c>
      <c r="AM201" s="775"/>
      <c r="AO201" s="775">
        <f t="shared" si="728"/>
        <v>0</v>
      </c>
      <c r="AQ201" s="775"/>
      <c r="AS201" s="775"/>
      <c r="AU201" s="775">
        <f t="shared" si="729"/>
        <v>0</v>
      </c>
      <c r="AW201" s="775"/>
      <c r="AY201" s="775"/>
      <c r="BA201" s="775">
        <f t="shared" si="730"/>
        <v>0</v>
      </c>
      <c r="BC201" s="775"/>
      <c r="BE201" s="775"/>
      <c r="BG201" s="775">
        <f t="shared" si="731"/>
        <v>0</v>
      </c>
      <c r="BI201" s="775"/>
      <c r="BK201" s="775"/>
      <c r="BM201" s="775">
        <f t="shared" si="732"/>
        <v>0</v>
      </c>
      <c r="BO201" s="775"/>
      <c r="BQ201" s="970"/>
      <c r="BS201" s="775"/>
      <c r="BU201" s="775">
        <f t="shared" si="733"/>
        <v>0</v>
      </c>
      <c r="BW201" s="775"/>
      <c r="BZ201" s="970"/>
      <c r="CB201" s="775"/>
      <c r="CD201" s="970"/>
      <c r="CF201" s="775"/>
      <c r="CH201" s="775">
        <f t="shared" si="734"/>
        <v>0</v>
      </c>
      <c r="CJ201" s="775"/>
      <c r="CL201" s="775"/>
      <c r="CN201" s="775">
        <f t="shared" si="735"/>
        <v>0</v>
      </c>
      <c r="CP201" s="775"/>
      <c r="CR201" s="775"/>
      <c r="CT201" s="775">
        <f t="shared" si="736"/>
        <v>0</v>
      </c>
      <c r="CV201" s="775"/>
      <c r="CX201" s="775"/>
      <c r="CZ201" s="775">
        <f t="shared" si="737"/>
        <v>0</v>
      </c>
      <c r="DB201" s="775"/>
      <c r="DD201" s="775"/>
      <c r="DF201" s="775">
        <f t="shared" si="738"/>
        <v>0</v>
      </c>
      <c r="DH201" s="775"/>
      <c r="DJ201" s="775"/>
      <c r="DL201" s="775">
        <f t="shared" si="739"/>
        <v>0</v>
      </c>
      <c r="DN201" s="775"/>
      <c r="DP201" s="775"/>
      <c r="DR201" s="775">
        <f t="shared" si="740"/>
        <v>0</v>
      </c>
      <c r="DT201" s="775"/>
      <c r="DV201" s="971">
        <v>0</v>
      </c>
      <c r="DX201" s="775"/>
      <c r="DZ201" s="775">
        <f t="shared" si="741"/>
        <v>0</v>
      </c>
      <c r="EB201" s="775"/>
      <c r="ED201" s="972">
        <v>0</v>
      </c>
      <c r="EF201" s="775"/>
      <c r="EH201" s="775">
        <f t="shared" si="742"/>
        <v>0</v>
      </c>
      <c r="EJ201" s="775">
        <v>7887872</v>
      </c>
      <c r="EL201" s="775"/>
      <c r="EN201" s="775">
        <f t="shared" si="743"/>
        <v>7887872</v>
      </c>
      <c r="EP201" s="775"/>
      <c r="ER201" s="775"/>
      <c r="ET201" s="775">
        <f t="shared" si="744"/>
        <v>0</v>
      </c>
      <c r="EV201" s="775"/>
      <c r="EX201" s="775"/>
      <c r="EZ201" s="775">
        <f t="shared" si="745"/>
        <v>0</v>
      </c>
      <c r="FB201" s="775"/>
      <c r="FD201" s="775"/>
      <c r="FF201" s="775"/>
      <c r="FH201" s="775"/>
      <c r="FJ201" s="775">
        <f t="shared" si="746"/>
        <v>0</v>
      </c>
      <c r="FL201" s="775"/>
      <c r="FN201" s="775"/>
      <c r="FP201" s="775">
        <f t="shared" si="747"/>
        <v>0</v>
      </c>
      <c r="FR201" s="775"/>
      <c r="FT201" s="775"/>
      <c r="FV201" s="775">
        <f t="shared" si="748"/>
        <v>0</v>
      </c>
      <c r="FX201" s="776"/>
      <c r="FZ201" s="775"/>
      <c r="GB201" s="775">
        <f t="shared" si="749"/>
        <v>0</v>
      </c>
      <c r="GD201" s="776"/>
      <c r="GF201" s="775"/>
      <c r="GH201" s="775">
        <v>0</v>
      </c>
      <c r="GK201" s="761">
        <f t="shared" si="750"/>
        <v>7887872</v>
      </c>
      <c r="GL201" s="973">
        <f t="shared" si="583"/>
        <v>7887.8720000000003</v>
      </c>
      <c r="GM201" s="761">
        <f t="shared" si="751"/>
        <v>7887872</v>
      </c>
      <c r="GN201" s="973"/>
    </row>
    <row r="202" spans="1:198">
      <c r="C202" s="766" t="s">
        <v>604</v>
      </c>
      <c r="I202" s="771"/>
      <c r="J202" s="770">
        <v>171</v>
      </c>
      <c r="K202" s="775"/>
      <c r="M202" s="775"/>
      <c r="O202" s="775">
        <f t="shared" si="724"/>
        <v>0</v>
      </c>
      <c r="Q202" s="775"/>
      <c r="S202" s="775"/>
      <c r="U202" s="775">
        <f t="shared" si="725"/>
        <v>0</v>
      </c>
      <c r="W202" s="775"/>
      <c r="Y202" s="775"/>
      <c r="AA202" s="775">
        <f t="shared" si="726"/>
        <v>0</v>
      </c>
      <c r="AC202" s="775"/>
      <c r="AE202" s="775"/>
      <c r="AG202" s="775">
        <f t="shared" si="727"/>
        <v>0</v>
      </c>
      <c r="AI202" s="775"/>
      <c r="AK202" s="970">
        <v>0</v>
      </c>
      <c r="AM202" s="775"/>
      <c r="AO202" s="775">
        <f t="shared" si="728"/>
        <v>0</v>
      </c>
      <c r="AQ202" s="775"/>
      <c r="AS202" s="775"/>
      <c r="AU202" s="775">
        <f t="shared" si="729"/>
        <v>0</v>
      </c>
      <c r="AW202" s="775">
        <v>93979766</v>
      </c>
      <c r="AY202" s="775"/>
      <c r="BA202" s="775">
        <f t="shared" si="730"/>
        <v>93979766</v>
      </c>
      <c r="BC202" s="775"/>
      <c r="BE202" s="775"/>
      <c r="BG202" s="775">
        <f t="shared" si="731"/>
        <v>0</v>
      </c>
      <c r="BI202" s="775"/>
      <c r="BK202" s="775"/>
      <c r="BM202" s="775">
        <f t="shared" si="732"/>
        <v>0</v>
      </c>
      <c r="BO202" s="775">
        <v>60793</v>
      </c>
      <c r="BQ202" s="970"/>
      <c r="BS202" s="775"/>
      <c r="BU202" s="775">
        <f t="shared" si="733"/>
        <v>60793</v>
      </c>
      <c r="BW202" s="775"/>
      <c r="BZ202" s="970"/>
      <c r="CB202" s="775"/>
      <c r="CD202" s="970"/>
      <c r="CF202" s="775"/>
      <c r="CH202" s="775">
        <f t="shared" si="734"/>
        <v>0</v>
      </c>
      <c r="CJ202" s="775"/>
      <c r="CL202" s="775"/>
      <c r="CN202" s="775">
        <f t="shared" si="735"/>
        <v>0</v>
      </c>
      <c r="CP202" s="775"/>
      <c r="CR202" s="775"/>
      <c r="CT202" s="775">
        <f t="shared" si="736"/>
        <v>0</v>
      </c>
      <c r="CV202" s="775">
        <v>517287</v>
      </c>
      <c r="CX202" s="775"/>
      <c r="CZ202" s="775">
        <f t="shared" si="737"/>
        <v>517287</v>
      </c>
      <c r="DB202" s="775"/>
      <c r="DD202" s="775"/>
      <c r="DF202" s="775">
        <f t="shared" si="738"/>
        <v>0</v>
      </c>
      <c r="DH202" s="775">
        <v>4088371</v>
      </c>
      <c r="DJ202" s="775">
        <v>-2329500</v>
      </c>
      <c r="DL202" s="775">
        <f t="shared" si="739"/>
        <v>1758871</v>
      </c>
      <c r="DN202" s="775">
        <v>17212889</v>
      </c>
      <c r="DP202" s="775"/>
      <c r="DR202" s="775">
        <f t="shared" si="740"/>
        <v>17212889</v>
      </c>
      <c r="DT202" s="775"/>
      <c r="DV202" s="971">
        <v>0</v>
      </c>
      <c r="DX202" s="775"/>
      <c r="DZ202" s="775">
        <f t="shared" si="741"/>
        <v>0</v>
      </c>
      <c r="EB202" s="775"/>
      <c r="ED202" s="972">
        <v>0</v>
      </c>
      <c r="EF202" s="775"/>
      <c r="EH202" s="775">
        <f t="shared" si="742"/>
        <v>0</v>
      </c>
      <c r="EJ202" s="775"/>
      <c r="EL202" s="775"/>
      <c r="EN202" s="775">
        <f t="shared" si="743"/>
        <v>0</v>
      </c>
      <c r="EP202" s="775"/>
      <c r="ER202" s="775"/>
      <c r="ET202" s="775">
        <f t="shared" si="744"/>
        <v>0</v>
      </c>
      <c r="EV202" s="775"/>
      <c r="EX202" s="775"/>
      <c r="EZ202" s="775">
        <f t="shared" si="745"/>
        <v>0</v>
      </c>
      <c r="FB202" s="775"/>
      <c r="FD202" s="775"/>
      <c r="FF202" s="775"/>
      <c r="FH202" s="775"/>
      <c r="FJ202" s="775">
        <f t="shared" si="746"/>
        <v>0</v>
      </c>
      <c r="FL202" s="775"/>
      <c r="FN202" s="775"/>
      <c r="FP202" s="775">
        <f t="shared" si="747"/>
        <v>0</v>
      </c>
      <c r="FR202" s="775"/>
      <c r="FT202" s="775"/>
      <c r="FV202" s="775">
        <f t="shared" si="748"/>
        <v>0</v>
      </c>
      <c r="FX202" s="776">
        <v>106753219</v>
      </c>
      <c r="FZ202" s="775"/>
      <c r="GB202" s="775">
        <f t="shared" si="749"/>
        <v>106753219</v>
      </c>
      <c r="GD202" s="776"/>
      <c r="GF202" s="775"/>
      <c r="GH202" s="775">
        <v>0</v>
      </c>
      <c r="GK202" s="761">
        <f t="shared" si="750"/>
        <v>220282825</v>
      </c>
      <c r="GL202" s="973">
        <f t="shared" si="583"/>
        <v>220282.82500000001</v>
      </c>
      <c r="GM202" s="761">
        <f t="shared" si="751"/>
        <v>94040559</v>
      </c>
      <c r="GN202" s="973"/>
      <c r="GP202" s="973"/>
    </row>
    <row r="203" spans="1:198">
      <c r="C203" s="766" t="s">
        <v>147</v>
      </c>
      <c r="J203" s="758">
        <v>172</v>
      </c>
      <c r="K203" s="775"/>
      <c r="M203" s="775"/>
      <c r="O203" s="775">
        <f t="shared" si="724"/>
        <v>0</v>
      </c>
      <c r="Q203" s="775"/>
      <c r="S203" s="775"/>
      <c r="U203" s="775">
        <f t="shared" si="725"/>
        <v>0</v>
      </c>
      <c r="W203" s="775"/>
      <c r="Y203" s="775"/>
      <c r="AA203" s="775">
        <f t="shared" si="726"/>
        <v>0</v>
      </c>
      <c r="AC203" s="775"/>
      <c r="AE203" s="775"/>
      <c r="AG203" s="775">
        <f t="shared" si="727"/>
        <v>0</v>
      </c>
      <c r="AI203" s="775"/>
      <c r="AK203" s="970">
        <v>0</v>
      </c>
      <c r="AM203" s="775"/>
      <c r="AO203" s="775">
        <f t="shared" si="728"/>
        <v>0</v>
      </c>
      <c r="AQ203" s="775"/>
      <c r="AS203" s="775"/>
      <c r="AU203" s="775">
        <f t="shared" si="729"/>
        <v>0</v>
      </c>
      <c r="AW203" s="775"/>
      <c r="AY203" s="775"/>
      <c r="BA203" s="775">
        <f t="shared" si="730"/>
        <v>0</v>
      </c>
      <c r="BC203" s="775"/>
      <c r="BE203" s="775"/>
      <c r="BG203" s="775">
        <f t="shared" si="731"/>
        <v>0</v>
      </c>
      <c r="BI203" s="775"/>
      <c r="BK203" s="775"/>
      <c r="BM203" s="775">
        <f t="shared" si="732"/>
        <v>0</v>
      </c>
      <c r="BO203" s="775"/>
      <c r="BQ203" s="970"/>
      <c r="BS203" s="775"/>
      <c r="BU203" s="775">
        <f t="shared" si="733"/>
        <v>0</v>
      </c>
      <c r="BW203" s="775"/>
      <c r="BZ203" s="970"/>
      <c r="CB203" s="775"/>
      <c r="CD203" s="970"/>
      <c r="CF203" s="775"/>
      <c r="CH203" s="775">
        <f t="shared" si="734"/>
        <v>0</v>
      </c>
      <c r="CJ203" s="775"/>
      <c r="CL203" s="775"/>
      <c r="CN203" s="775">
        <f t="shared" si="735"/>
        <v>0</v>
      </c>
      <c r="CP203" s="775"/>
      <c r="CR203" s="775"/>
      <c r="CT203" s="775">
        <f t="shared" si="736"/>
        <v>0</v>
      </c>
      <c r="CV203" s="775"/>
      <c r="CX203" s="775"/>
      <c r="CZ203" s="775">
        <f t="shared" si="737"/>
        <v>0</v>
      </c>
      <c r="DB203" s="776">
        <v>33830000</v>
      </c>
      <c r="DD203" s="775"/>
      <c r="DF203" s="775">
        <f t="shared" si="738"/>
        <v>33830000</v>
      </c>
      <c r="DH203" s="775"/>
      <c r="DJ203" s="775"/>
      <c r="DL203" s="775">
        <f t="shared" si="739"/>
        <v>0</v>
      </c>
      <c r="DN203" s="775"/>
      <c r="DP203" s="775"/>
      <c r="DR203" s="775">
        <f t="shared" si="740"/>
        <v>0</v>
      </c>
      <c r="DT203" s="775"/>
      <c r="DV203" s="971">
        <v>0</v>
      </c>
      <c r="DX203" s="775"/>
      <c r="DZ203" s="775">
        <f t="shared" si="741"/>
        <v>0</v>
      </c>
      <c r="EB203" s="775"/>
      <c r="ED203" s="972">
        <v>0</v>
      </c>
      <c r="EF203" s="775"/>
      <c r="EH203" s="775">
        <f t="shared" si="742"/>
        <v>0</v>
      </c>
      <c r="EJ203" s="775"/>
      <c r="EL203" s="775"/>
      <c r="EN203" s="775">
        <f t="shared" si="743"/>
        <v>0</v>
      </c>
      <c r="EP203" s="775"/>
      <c r="ER203" s="775"/>
      <c r="ET203" s="775">
        <f t="shared" si="744"/>
        <v>0</v>
      </c>
      <c r="EV203" s="776">
        <v>174253155</v>
      </c>
      <c r="EX203" s="775"/>
      <c r="EZ203" s="775">
        <f t="shared" si="745"/>
        <v>174253155</v>
      </c>
      <c r="FB203" s="775"/>
      <c r="FD203" s="775"/>
      <c r="FF203" s="775">
        <v>12423457</v>
      </c>
      <c r="FH203" s="775"/>
      <c r="FJ203" s="775">
        <f t="shared" si="746"/>
        <v>12423457</v>
      </c>
      <c r="FL203" s="775"/>
      <c r="FN203" s="775"/>
      <c r="FP203" s="775">
        <f t="shared" si="747"/>
        <v>0</v>
      </c>
      <c r="FR203" s="775"/>
      <c r="FT203" s="775"/>
      <c r="FV203" s="775">
        <f t="shared" si="748"/>
        <v>0</v>
      </c>
      <c r="FX203" s="775"/>
      <c r="FZ203" s="775"/>
      <c r="GB203" s="775">
        <f t="shared" si="749"/>
        <v>0</v>
      </c>
      <c r="GD203" s="775">
        <v>142259</v>
      </c>
      <c r="GF203" s="775"/>
      <c r="GH203" s="775">
        <v>142259</v>
      </c>
      <c r="GK203" s="761">
        <f t="shared" si="750"/>
        <v>220506612</v>
      </c>
      <c r="GL203" s="973">
        <f t="shared" si="583"/>
        <v>220506.61199999999</v>
      </c>
      <c r="GM203" s="761">
        <f t="shared" si="751"/>
        <v>220506612</v>
      </c>
      <c r="GN203" s="973"/>
      <c r="GP203" s="973"/>
    </row>
    <row r="204" spans="1:198">
      <c r="C204" s="766" t="s">
        <v>148</v>
      </c>
      <c r="J204" s="770">
        <v>173</v>
      </c>
      <c r="K204" s="775"/>
      <c r="M204" s="775"/>
      <c r="O204" s="775">
        <f t="shared" si="724"/>
        <v>0</v>
      </c>
      <c r="Q204" s="775"/>
      <c r="S204" s="775"/>
      <c r="U204" s="775">
        <f t="shared" si="725"/>
        <v>0</v>
      </c>
      <c r="W204" s="775"/>
      <c r="Y204" s="775"/>
      <c r="AA204" s="775">
        <f t="shared" si="726"/>
        <v>0</v>
      </c>
      <c r="AC204" s="775"/>
      <c r="AE204" s="775"/>
      <c r="AG204" s="775">
        <f t="shared" si="727"/>
        <v>0</v>
      </c>
      <c r="AI204" s="775"/>
      <c r="AK204" s="970">
        <v>0</v>
      </c>
      <c r="AM204" s="775"/>
      <c r="AO204" s="775">
        <f t="shared" si="728"/>
        <v>0</v>
      </c>
      <c r="AQ204" s="775"/>
      <c r="AS204" s="775"/>
      <c r="AU204" s="775">
        <f t="shared" si="729"/>
        <v>0</v>
      </c>
      <c r="AW204" s="775"/>
      <c r="AY204" s="775"/>
      <c r="BA204" s="775">
        <f t="shared" si="730"/>
        <v>0</v>
      </c>
      <c r="BC204" s="775"/>
      <c r="BE204" s="775"/>
      <c r="BG204" s="775">
        <f t="shared" si="731"/>
        <v>0</v>
      </c>
      <c r="BI204" s="775"/>
      <c r="BK204" s="775"/>
      <c r="BM204" s="775">
        <f t="shared" si="732"/>
        <v>0</v>
      </c>
      <c r="BO204" s="775"/>
      <c r="BQ204" s="970"/>
      <c r="BS204" s="775"/>
      <c r="BU204" s="775">
        <f t="shared" si="733"/>
        <v>0</v>
      </c>
      <c r="BW204" s="775"/>
      <c r="BZ204" s="970"/>
      <c r="CB204" s="775"/>
      <c r="CD204" s="970"/>
      <c r="CF204" s="775"/>
      <c r="CH204" s="775">
        <f t="shared" si="734"/>
        <v>0</v>
      </c>
      <c r="CJ204" s="775"/>
      <c r="CL204" s="775"/>
      <c r="CN204" s="775">
        <f t="shared" si="735"/>
        <v>0</v>
      </c>
      <c r="CP204" s="775"/>
      <c r="CR204" s="775"/>
      <c r="CT204" s="775">
        <f t="shared" si="736"/>
        <v>0</v>
      </c>
      <c r="CV204" s="775"/>
      <c r="CX204" s="775"/>
      <c r="CZ204" s="775">
        <f t="shared" si="737"/>
        <v>0</v>
      </c>
      <c r="DB204" s="775"/>
      <c r="DD204" s="775"/>
      <c r="DF204" s="775">
        <f t="shared" si="738"/>
        <v>0</v>
      </c>
      <c r="DH204" s="775"/>
      <c r="DJ204" s="775"/>
      <c r="DL204" s="775">
        <f t="shared" si="739"/>
        <v>0</v>
      </c>
      <c r="DN204" s="775"/>
      <c r="DP204" s="775"/>
      <c r="DR204" s="775">
        <f t="shared" si="740"/>
        <v>0</v>
      </c>
      <c r="DT204" s="775"/>
      <c r="DV204" s="971">
        <v>0</v>
      </c>
      <c r="DX204" s="775"/>
      <c r="DZ204" s="775">
        <f t="shared" si="741"/>
        <v>0</v>
      </c>
      <c r="EB204" s="775"/>
      <c r="ED204" s="972">
        <v>0</v>
      </c>
      <c r="EF204" s="775"/>
      <c r="EH204" s="775">
        <f t="shared" si="742"/>
        <v>0</v>
      </c>
      <c r="EJ204" s="775"/>
      <c r="EL204" s="775"/>
      <c r="EN204" s="775">
        <f t="shared" si="743"/>
        <v>0</v>
      </c>
      <c r="EP204" s="775">
        <v>3326942345</v>
      </c>
      <c r="ER204" s="775"/>
      <c r="ET204" s="775">
        <f t="shared" si="744"/>
        <v>3326942345</v>
      </c>
      <c r="EV204" s="775"/>
      <c r="EX204" s="775"/>
      <c r="EZ204" s="775">
        <f t="shared" si="745"/>
        <v>0</v>
      </c>
      <c r="FB204" s="775"/>
      <c r="FD204" s="775"/>
      <c r="FF204" s="775"/>
      <c r="FH204" s="775"/>
      <c r="FJ204" s="775">
        <f t="shared" si="746"/>
        <v>0</v>
      </c>
      <c r="FL204" s="775"/>
      <c r="FN204" s="775"/>
      <c r="FP204" s="775">
        <f t="shared" si="747"/>
        <v>0</v>
      </c>
      <c r="FR204" s="775"/>
      <c r="FT204" s="775"/>
      <c r="FV204" s="775">
        <f t="shared" si="748"/>
        <v>0</v>
      </c>
      <c r="FX204" s="775"/>
      <c r="FZ204" s="775"/>
      <c r="GB204" s="775">
        <f t="shared" si="749"/>
        <v>0</v>
      </c>
      <c r="GD204" s="775"/>
      <c r="GF204" s="775"/>
      <c r="GH204" s="775">
        <v>0</v>
      </c>
      <c r="GK204" s="761">
        <f t="shared" si="750"/>
        <v>3326942345</v>
      </c>
      <c r="GL204" s="973">
        <f t="shared" si="583"/>
        <v>3326942.3450000002</v>
      </c>
      <c r="GM204" s="761">
        <f t="shared" si="751"/>
        <v>3326942345</v>
      </c>
      <c r="GN204" s="973"/>
      <c r="GP204" s="973"/>
    </row>
    <row r="205" spans="1:198">
      <c r="C205" s="766" t="s">
        <v>75</v>
      </c>
      <c r="I205" s="771"/>
      <c r="J205" s="758">
        <v>174</v>
      </c>
      <c r="K205" s="775"/>
      <c r="M205" s="775"/>
      <c r="O205" s="775">
        <f t="shared" si="724"/>
        <v>0</v>
      </c>
      <c r="Q205" s="775">
        <v>1656777</v>
      </c>
      <c r="S205" s="775"/>
      <c r="U205" s="775">
        <f t="shared" si="725"/>
        <v>1656777</v>
      </c>
      <c r="W205" s="775"/>
      <c r="Y205" s="775"/>
      <c r="AA205" s="775">
        <f t="shared" si="726"/>
        <v>0</v>
      </c>
      <c r="AC205" s="775"/>
      <c r="AE205" s="775"/>
      <c r="AG205" s="775">
        <f t="shared" si="727"/>
        <v>0</v>
      </c>
      <c r="AI205" s="775"/>
      <c r="AK205" s="970">
        <v>0</v>
      </c>
      <c r="AM205" s="775"/>
      <c r="AO205" s="775">
        <f t="shared" si="728"/>
        <v>0</v>
      </c>
      <c r="AQ205" s="775"/>
      <c r="AS205" s="775"/>
      <c r="AU205" s="775">
        <f t="shared" si="729"/>
        <v>0</v>
      </c>
      <c r="AW205" s="775">
        <v>4457062</v>
      </c>
      <c r="AY205" s="775"/>
      <c r="BA205" s="775">
        <f t="shared" si="730"/>
        <v>4457062</v>
      </c>
      <c r="BC205" s="775">
        <v>19758885</v>
      </c>
      <c r="BE205" s="775"/>
      <c r="BG205" s="775">
        <f t="shared" si="731"/>
        <v>19758885</v>
      </c>
      <c r="BI205" s="775"/>
      <c r="BK205" s="775"/>
      <c r="BM205" s="775">
        <f t="shared" si="732"/>
        <v>0</v>
      </c>
      <c r="BO205" s="775"/>
      <c r="BQ205" s="970"/>
      <c r="BS205" s="775"/>
      <c r="BU205" s="775">
        <f t="shared" si="733"/>
        <v>0</v>
      </c>
      <c r="BW205" s="775"/>
      <c r="BZ205" s="970"/>
      <c r="CB205" s="775"/>
      <c r="CD205" s="970"/>
      <c r="CF205" s="775"/>
      <c r="CH205" s="775">
        <f t="shared" si="734"/>
        <v>0</v>
      </c>
      <c r="CJ205" s="775"/>
      <c r="CL205" s="775"/>
      <c r="CN205" s="775">
        <f t="shared" si="735"/>
        <v>0</v>
      </c>
      <c r="CP205" s="775"/>
      <c r="CR205" s="775"/>
      <c r="CT205" s="775">
        <f t="shared" si="736"/>
        <v>0</v>
      </c>
      <c r="CV205" s="775"/>
      <c r="CX205" s="775"/>
      <c r="CZ205" s="775">
        <f t="shared" si="737"/>
        <v>0</v>
      </c>
      <c r="DB205" s="775"/>
      <c r="DD205" s="775"/>
      <c r="DF205" s="775">
        <f t="shared" si="738"/>
        <v>0</v>
      </c>
      <c r="DH205" s="775"/>
      <c r="DJ205" s="775"/>
      <c r="DL205" s="775">
        <f t="shared" si="739"/>
        <v>0</v>
      </c>
      <c r="DN205" s="775"/>
      <c r="DP205" s="775"/>
      <c r="DR205" s="775">
        <f t="shared" si="740"/>
        <v>0</v>
      </c>
      <c r="DT205" s="776">
        <v>526592</v>
      </c>
      <c r="DV205" s="971">
        <v>0</v>
      </c>
      <c r="DX205" s="775"/>
      <c r="DZ205" s="775">
        <f t="shared" si="741"/>
        <v>526592</v>
      </c>
      <c r="EB205" s="775">
        <v>39928873</v>
      </c>
      <c r="ED205" s="972">
        <v>0</v>
      </c>
      <c r="EF205" s="775"/>
      <c r="EH205" s="775">
        <f t="shared" si="742"/>
        <v>39928873</v>
      </c>
      <c r="EJ205" s="775">
        <v>476752</v>
      </c>
      <c r="EL205" s="775"/>
      <c r="EN205" s="775">
        <f t="shared" si="743"/>
        <v>476752</v>
      </c>
      <c r="EP205" s="775"/>
      <c r="ER205" s="775"/>
      <c r="ET205" s="775">
        <f t="shared" si="744"/>
        <v>0</v>
      </c>
      <c r="EV205" s="775"/>
      <c r="EX205" s="775"/>
      <c r="EZ205" s="775">
        <f t="shared" si="745"/>
        <v>0</v>
      </c>
      <c r="FB205" s="775"/>
      <c r="FD205" s="775"/>
      <c r="FF205" s="775"/>
      <c r="FH205" s="775"/>
      <c r="FJ205" s="775">
        <f t="shared" si="746"/>
        <v>0</v>
      </c>
      <c r="FL205" s="775"/>
      <c r="FN205" s="775"/>
      <c r="FP205" s="775">
        <f t="shared" si="747"/>
        <v>0</v>
      </c>
      <c r="FR205" s="775"/>
      <c r="FT205" s="775"/>
      <c r="FV205" s="775">
        <f t="shared" si="748"/>
        <v>0</v>
      </c>
      <c r="FX205" s="775"/>
      <c r="FZ205" s="775"/>
      <c r="GB205" s="775">
        <f t="shared" si="749"/>
        <v>0</v>
      </c>
      <c r="GD205" s="775"/>
      <c r="GF205" s="775"/>
      <c r="GH205" s="775">
        <v>0</v>
      </c>
      <c r="GK205" s="761">
        <f t="shared" si="750"/>
        <v>66804941</v>
      </c>
      <c r="GL205" s="973">
        <f t="shared" si="583"/>
        <v>66804.941000000006</v>
      </c>
      <c r="GM205" s="761">
        <f t="shared" si="751"/>
        <v>66804941</v>
      </c>
      <c r="GN205" s="973"/>
      <c r="GP205" s="973"/>
    </row>
    <row r="206" spans="1:198">
      <c r="A206" s="766" t="s">
        <v>149</v>
      </c>
      <c r="J206" s="770">
        <v>175</v>
      </c>
      <c r="K206" s="775">
        <v>6039791</v>
      </c>
      <c r="M206" s="775"/>
      <c r="O206" s="775">
        <f t="shared" si="724"/>
        <v>6039791</v>
      </c>
      <c r="Q206" s="776">
        <v>24998698</v>
      </c>
      <c r="S206" s="775"/>
      <c r="U206" s="775">
        <f t="shared" si="725"/>
        <v>24998698</v>
      </c>
      <c r="W206" s="775">
        <v>22642320</v>
      </c>
      <c r="Y206" s="775"/>
      <c r="AA206" s="775">
        <f t="shared" si="726"/>
        <v>22642320</v>
      </c>
      <c r="AC206" s="775">
        <v>26141729</v>
      </c>
      <c r="AE206" s="775">
        <v>-2531</v>
      </c>
      <c r="AG206" s="775">
        <f t="shared" si="727"/>
        <v>26139198</v>
      </c>
      <c r="AI206" s="775">
        <v>3783299</v>
      </c>
      <c r="AK206" s="970">
        <v>0</v>
      </c>
      <c r="AM206" s="775">
        <v>-740</v>
      </c>
      <c r="AO206" s="775">
        <f t="shared" si="728"/>
        <v>3782559</v>
      </c>
      <c r="AQ206" s="775"/>
      <c r="AS206" s="775"/>
      <c r="AU206" s="775">
        <f t="shared" si="729"/>
        <v>0</v>
      </c>
      <c r="AW206" s="775">
        <v>14809100</v>
      </c>
      <c r="AY206" s="775"/>
      <c r="BA206" s="775">
        <f t="shared" si="730"/>
        <v>14809100</v>
      </c>
      <c r="BC206" s="775">
        <v>4436616</v>
      </c>
      <c r="BE206" s="775"/>
      <c r="BG206" s="775">
        <f t="shared" si="731"/>
        <v>4436616</v>
      </c>
      <c r="BI206" s="775">
        <v>177781801</v>
      </c>
      <c r="BK206" s="775">
        <v>-648773</v>
      </c>
      <c r="BM206" s="775">
        <f t="shared" si="732"/>
        <v>177133028</v>
      </c>
      <c r="BO206" s="775">
        <v>7213952</v>
      </c>
      <c r="BQ206" s="970"/>
      <c r="BS206" s="775"/>
      <c r="BU206" s="775">
        <f t="shared" si="733"/>
        <v>7213952</v>
      </c>
      <c r="BW206" s="775">
        <v>3476635</v>
      </c>
      <c r="BZ206" s="970"/>
      <c r="CB206" s="775"/>
      <c r="CD206" s="970"/>
      <c r="CF206" s="775">
        <v>12613</v>
      </c>
      <c r="CH206" s="775">
        <f t="shared" si="734"/>
        <v>3489248</v>
      </c>
      <c r="CJ206" s="775">
        <v>574467</v>
      </c>
      <c r="CL206" s="775"/>
      <c r="CN206" s="775">
        <f t="shared" si="735"/>
        <v>574467</v>
      </c>
      <c r="CP206" s="775">
        <v>522675</v>
      </c>
      <c r="CR206" s="775"/>
      <c r="CT206" s="775">
        <f t="shared" si="736"/>
        <v>522675</v>
      </c>
      <c r="CV206" s="775">
        <v>1083854</v>
      </c>
      <c r="CX206" s="775"/>
      <c r="CZ206" s="775">
        <f t="shared" si="737"/>
        <v>1083854</v>
      </c>
      <c r="DB206" s="775">
        <v>161755000</v>
      </c>
      <c r="DD206" s="775"/>
      <c r="DF206" s="775">
        <f t="shared" si="738"/>
        <v>161755000</v>
      </c>
      <c r="DH206" s="775">
        <v>1681293</v>
      </c>
      <c r="DJ206" s="775"/>
      <c r="DL206" s="775">
        <f t="shared" si="739"/>
        <v>1681293</v>
      </c>
      <c r="DN206" s="775">
        <v>3502785</v>
      </c>
      <c r="DP206" s="775"/>
      <c r="DR206" s="775">
        <f t="shared" si="740"/>
        <v>3502785</v>
      </c>
      <c r="DT206" s="775">
        <v>22611140</v>
      </c>
      <c r="DV206" s="971"/>
      <c r="DX206" s="775"/>
      <c r="DZ206" s="775">
        <f t="shared" si="741"/>
        <v>22611140</v>
      </c>
      <c r="EB206" s="775">
        <v>12791217</v>
      </c>
      <c r="ED206" s="972"/>
      <c r="EF206" s="775"/>
      <c r="EH206" s="775">
        <f t="shared" si="742"/>
        <v>12791217</v>
      </c>
      <c r="EJ206" s="776">
        <v>29468479</v>
      </c>
      <c r="EL206" s="775"/>
      <c r="EN206" s="775">
        <f t="shared" si="743"/>
        <v>29468479</v>
      </c>
      <c r="EP206" s="775">
        <v>449428299</v>
      </c>
      <c r="ER206" s="775"/>
      <c r="ET206" s="775">
        <f t="shared" si="744"/>
        <v>449428299</v>
      </c>
      <c r="EV206" s="776">
        <v>803986775</v>
      </c>
      <c r="EX206" s="775"/>
      <c r="EZ206" s="775">
        <f t="shared" si="745"/>
        <v>803986775</v>
      </c>
      <c r="FB206" s="775"/>
      <c r="FD206" s="775"/>
      <c r="FF206" s="775">
        <v>34840304</v>
      </c>
      <c r="FH206" s="775"/>
      <c r="FJ206" s="775">
        <f t="shared" si="746"/>
        <v>34840304</v>
      </c>
      <c r="FL206" s="775">
        <v>72487144</v>
      </c>
      <c r="FN206" s="775">
        <v>-107644</v>
      </c>
      <c r="FP206" s="775">
        <f t="shared" si="747"/>
        <v>72379500</v>
      </c>
      <c r="FR206" s="775">
        <v>485121670</v>
      </c>
      <c r="FT206" s="775">
        <v>-86813</v>
      </c>
      <c r="FV206" s="775">
        <f t="shared" si="748"/>
        <v>485034857</v>
      </c>
      <c r="FX206" s="775">
        <v>-16685746</v>
      </c>
      <c r="FZ206" s="775"/>
      <c r="GB206" s="775">
        <f t="shared" si="749"/>
        <v>-16685746</v>
      </c>
      <c r="GD206" s="775">
        <v>-5720177929</v>
      </c>
      <c r="GF206" s="775"/>
      <c r="GH206" s="775">
        <v>-5720177929</v>
      </c>
      <c r="GK206" s="761">
        <f>O206+U206+AA206+AG206+AO206+AV206+BA206+BG206+BM206+BU206+CH206+CN206+CT206+CZ206+DF206+DL206+DR206+DZ206+EH206+EN206+ET206+EZ206+FJ206+FP206+FV206+GB206</f>
        <v>2353659409</v>
      </c>
      <c r="GL206" s="973">
        <f t="shared" si="583"/>
        <v>2353659.409</v>
      </c>
      <c r="GM206" s="761">
        <f t="shared" si="751"/>
        <v>2364077223</v>
      </c>
      <c r="GN206" s="973"/>
      <c r="GP206" s="973"/>
    </row>
    <row r="207" spans="1:198" ht="12" thickBot="1">
      <c r="A207" s="763" t="s">
        <v>735</v>
      </c>
      <c r="J207" s="758">
        <v>176</v>
      </c>
      <c r="K207" s="784">
        <f>SUM(K194,K196,K199:K206)</f>
        <v>6039791</v>
      </c>
      <c r="M207" s="784">
        <f>SUM(M194,M196,M199:M206)</f>
        <v>0</v>
      </c>
      <c r="O207" s="784">
        <f>SUM(O194,O196,O199:O206)</f>
        <v>6039791</v>
      </c>
      <c r="Q207" s="784">
        <f>SUM(Q194,Q196,Q199:Q206)</f>
        <v>35578846</v>
      </c>
      <c r="S207" s="784">
        <f>SUM(S194,S196,S199:S206)</f>
        <v>0</v>
      </c>
      <c r="U207" s="784">
        <f>SUM(U194,U196,U199:U206)</f>
        <v>35578846</v>
      </c>
      <c r="W207" s="784">
        <f>SUM(W194,W196,W199:W206)</f>
        <v>22642320</v>
      </c>
      <c r="Y207" s="784">
        <f>SUM(Y194,Y196,Y199:Y206)</f>
        <v>0</v>
      </c>
      <c r="AA207" s="784">
        <f>SUM(AA194,AA196,AA199:AA206)</f>
        <v>22642320</v>
      </c>
      <c r="AC207" s="784">
        <f>SUM(AC194,AC196,AC199:AC206)</f>
        <v>26141729</v>
      </c>
      <c r="AE207" s="784">
        <f>SUM(AE194,AE196,AE199:AE206)</f>
        <v>-2531</v>
      </c>
      <c r="AG207" s="784">
        <f>SUM(AG194,AG196,AG199:AG206)</f>
        <v>26139198</v>
      </c>
      <c r="AI207" s="784">
        <f>SUM(AI194,AI196,AI199:AI206)</f>
        <v>5799939</v>
      </c>
      <c r="AK207" s="983">
        <f>SUM(AK194,AK196,AK199:AK206)</f>
        <v>0</v>
      </c>
      <c r="AM207" s="784">
        <f>SUM(AM194,AM196,AM199:AM206)</f>
        <v>0</v>
      </c>
      <c r="AO207" s="784">
        <f>SUM(AO194,AO196,AO199:AO206)</f>
        <v>5799939</v>
      </c>
      <c r="AQ207" s="784">
        <f>SUM(AQ194,AQ196,AQ199:AQ206)</f>
        <v>0</v>
      </c>
      <c r="AS207" s="784">
        <f>SUM(AS194,AS196,AS199:AS206)</f>
        <v>0</v>
      </c>
      <c r="AU207" s="784">
        <f>SUM(AU194,AU196,AU199:AU206)</f>
        <v>0</v>
      </c>
      <c r="AW207" s="784">
        <f>SUM(AW194,AW196,AW199:AW206)</f>
        <v>113245928</v>
      </c>
      <c r="AY207" s="784">
        <f>SUM(AY194,AY196,AY199:AY206)</f>
        <v>0</v>
      </c>
      <c r="BA207" s="784">
        <f>SUM(BA194,BA196,BA199:BA206)</f>
        <v>113245928</v>
      </c>
      <c r="BC207" s="784">
        <f>SUM(BC194,BC196,BC199:BC206)</f>
        <v>25830014</v>
      </c>
      <c r="BE207" s="784">
        <f>SUM(BE194,BE196,BE199:BE206)</f>
        <v>0</v>
      </c>
      <c r="BG207" s="784">
        <f>SUM(BG194,BG196,BG199:BG206)</f>
        <v>25830014</v>
      </c>
      <c r="BI207" s="784">
        <f>SUM(BI194,BI196,BI199:BI206)</f>
        <v>338710586</v>
      </c>
      <c r="BK207" s="784">
        <f>SUM(BK194,BK196,BK199:BK206)</f>
        <v>-648773</v>
      </c>
      <c r="BM207" s="784">
        <f>SUM(BM194,BM196,BM199:BM206)</f>
        <v>338061813</v>
      </c>
      <c r="BO207" s="784">
        <f>SUM(BO194,BO196,BO199:BO206)</f>
        <v>7274745</v>
      </c>
      <c r="BQ207" s="983">
        <f>SUM(BQ194,BQ196,BQ199:BQ206)</f>
        <v>0</v>
      </c>
      <c r="BS207" s="784">
        <f>SUM(BS194,BS196,BS199:BS206)</f>
        <v>0</v>
      </c>
      <c r="BU207" s="784">
        <f>SUM(BU194,BU196,BU199:BU206)</f>
        <v>7274745</v>
      </c>
      <c r="BW207" s="784">
        <f>SUM(BW194,BW196,BW199:BW206)</f>
        <v>4963647</v>
      </c>
      <c r="BZ207" s="983">
        <f>SUM(BZ194,BZ196,BZ199:BZ206)</f>
        <v>0</v>
      </c>
      <c r="CB207" s="784">
        <f>SUM(CB194,CB196,CB199:CB206)</f>
        <v>0</v>
      </c>
      <c r="CD207" s="983">
        <f>SUM(CD194,CD196,CD199:CD206)</f>
        <v>0</v>
      </c>
      <c r="CF207" s="784">
        <f>SUM(CF194,CF196,CF199:CF206)</f>
        <v>0</v>
      </c>
      <c r="CH207" s="784">
        <f>SUM(CH194,CH196,CH199:CH206)</f>
        <v>4963647</v>
      </c>
      <c r="CJ207" s="784">
        <f>SUM(CJ194,CJ196,CJ199:CJ206)</f>
        <v>574467</v>
      </c>
      <c r="CL207" s="784">
        <f>SUM(CL194,CL196,CL199:CL206)</f>
        <v>0</v>
      </c>
      <c r="CN207" s="784">
        <f>SUM(CN194,CN196,CN199:CN206)</f>
        <v>574467</v>
      </c>
      <c r="CP207" s="784">
        <f>SUM(CP194,CP196,CP199:CP206)</f>
        <v>527169</v>
      </c>
      <c r="CR207" s="784">
        <f>SUM(CR194,CR196,CR199:CR206)</f>
        <v>0</v>
      </c>
      <c r="CT207" s="784">
        <f>SUM(CT194,CT196,CT199:CT206)</f>
        <v>527169</v>
      </c>
      <c r="CV207" s="784">
        <f>SUM(CV194,CV196,CV199:CV206)</f>
        <v>1939377</v>
      </c>
      <c r="CX207" s="784">
        <f>SUM(CX194,CX196,CX199:CX206)</f>
        <v>0</v>
      </c>
      <c r="CZ207" s="784">
        <f>SUM(CZ194,CZ196,CZ199:CZ206)</f>
        <v>1939377</v>
      </c>
      <c r="DB207" s="784">
        <f>SUM(DB194,DB196,DB199:DB206)</f>
        <v>1177022000</v>
      </c>
      <c r="DD207" s="784">
        <f>SUM(DD194,DD196,DD199:DD206)</f>
        <v>0</v>
      </c>
      <c r="DF207" s="784">
        <f>SUM(DF194,DF196,DF199:DF206)</f>
        <v>1177022000</v>
      </c>
      <c r="DH207" s="784">
        <f>SUM(DH194,DH196,DH199:DH206)</f>
        <v>5769664</v>
      </c>
      <c r="DJ207" s="784">
        <f>SUM(DJ194,DJ196,DJ199:DJ206)</f>
        <v>0</v>
      </c>
      <c r="DL207" s="784">
        <f>SUM(DL194,DL196,DL199:DL206)</f>
        <v>5769664</v>
      </c>
      <c r="DN207" s="784">
        <f>SUM(DN194,DN196,DN199:DN206)</f>
        <v>29862885</v>
      </c>
      <c r="DP207" s="784">
        <f>SUM(DP194,DP196,DP199:DP206)</f>
        <v>0</v>
      </c>
      <c r="DR207" s="784">
        <f>SUM(DR194,DR196,DR199:DR206)</f>
        <v>29862885</v>
      </c>
      <c r="DT207" s="784">
        <f>SUM(DT194,DT196,DT199:DT206)</f>
        <v>27377833</v>
      </c>
      <c r="DV207" s="984">
        <f>SUM(DV194,DV196,DV199:DV206)</f>
        <v>0</v>
      </c>
      <c r="DX207" s="784">
        <f>SUM(DX194,DX196,DX199:DX206)</f>
        <v>0</v>
      </c>
      <c r="DZ207" s="784">
        <f>SUM(DZ194,DZ196,DZ199:DZ206)</f>
        <v>27377833</v>
      </c>
      <c r="EB207" s="784">
        <f>SUM(EB194,EB196,EB199:EB206)</f>
        <v>201664882</v>
      </c>
      <c r="ED207" s="985">
        <f>SUM(ED194,ED196,ED199:ED206)</f>
        <v>0</v>
      </c>
      <c r="EF207" s="784">
        <f>SUM(EF194,EF196,EF199:EF206)</f>
        <v>0</v>
      </c>
      <c r="EH207" s="784">
        <f>SUM(EH194,EH196,EH199:EH206)</f>
        <v>201664882</v>
      </c>
      <c r="EJ207" s="784">
        <f>SUM(EJ194,EJ196,EJ199:EJ206)</f>
        <v>2215607796</v>
      </c>
      <c r="EL207" s="784">
        <f>SUM(EL194,EL196,EL199:EL206)</f>
        <v>0</v>
      </c>
      <c r="EN207" s="784">
        <f>SUM(EN194,EN196,EN199:EN206)</f>
        <v>2215607796</v>
      </c>
      <c r="EP207" s="784">
        <f>SUM(EP194,EP196,EP199:EP206)</f>
        <v>3785147296</v>
      </c>
      <c r="ER207" s="784">
        <f>SUM(ER194,ER196,ER199:ER206)</f>
        <v>0</v>
      </c>
      <c r="ET207" s="784">
        <f>SUM(ET194,ET196,ET199:ET206)</f>
        <v>3785147296</v>
      </c>
      <c r="EV207" s="784">
        <f>SUM(EV194,EV196,EV199:EV206)</f>
        <v>1452558394</v>
      </c>
      <c r="EX207" s="784">
        <f>SUM(EX194,EX196,EX199:EX206)</f>
        <v>0</v>
      </c>
      <c r="EZ207" s="784">
        <f>SUM(EZ194,EZ196,EZ199:EZ206)</f>
        <v>1452558394</v>
      </c>
      <c r="FB207" s="784">
        <f>SUM(FB194,FB196,FB199:FB206)</f>
        <v>0</v>
      </c>
      <c r="FD207" s="784">
        <f>SUM(FD194,FD196,FD199:FD206)</f>
        <v>0</v>
      </c>
      <c r="FF207" s="784">
        <f>SUM(FF194,FF196,FF199:FF206)</f>
        <v>47263761</v>
      </c>
      <c r="FH207" s="784">
        <f>SUM(FH194,FH196,FH199:FH206)</f>
        <v>0</v>
      </c>
      <c r="FJ207" s="784">
        <f>SUM(FJ194,FJ196,FJ199:FJ206)</f>
        <v>47263761</v>
      </c>
      <c r="FL207" s="784">
        <f>SUM(FL194,FL196,FL199:FL206)</f>
        <v>72529729</v>
      </c>
      <c r="FN207" s="784">
        <f>SUM(FN194,FN196,FN199:FN206)</f>
        <v>-107644</v>
      </c>
      <c r="FP207" s="784">
        <f>SUM(FP194,FP196,FP199:FP206)</f>
        <v>72422085</v>
      </c>
      <c r="FR207" s="784">
        <f>SUM(FR194,FR196,FR199:FR206)</f>
        <v>1241921345</v>
      </c>
      <c r="FT207" s="784">
        <f>SUM(FT194,FT196,FT199:FT206)</f>
        <v>-18000</v>
      </c>
      <c r="FV207" s="784">
        <f>SUM(FV194,FV196,FV199:FV206)</f>
        <v>1241903345</v>
      </c>
      <c r="FX207" s="784">
        <f>SUM(FX194,FX196,FX199:FX206)</f>
        <v>270953921</v>
      </c>
      <c r="FZ207" s="784">
        <f>SUM(FZ194,FZ196,FZ199:FZ206)</f>
        <v>0</v>
      </c>
      <c r="GB207" s="784">
        <f>SUM(GB194,GB196,GB199:GB206)</f>
        <v>270953921</v>
      </c>
      <c r="GD207" s="784">
        <v>-5290090411</v>
      </c>
      <c r="GF207" s="784">
        <v>0</v>
      </c>
      <c r="GH207" s="784">
        <v>-5290090411</v>
      </c>
      <c r="GK207" s="761">
        <f t="shared" ref="GK207" si="752">O207+U207+AA207+AG207+AO207+AU207+BA207+BG207+BM207+BU207+CH207+CN207+CT207+CZ207+DF207+DL207+DR207+DZ207+EH207+EN207+ET207+EZ207+FJ207+FP207+FV207+GB207</f>
        <v>11116171116</v>
      </c>
      <c r="GL207" s="973">
        <f t="shared" si="583"/>
        <v>11116171.116</v>
      </c>
      <c r="GM207" s="761">
        <f t="shared" si="751"/>
        <v>10807645269</v>
      </c>
      <c r="GN207" s="973"/>
      <c r="GP207" s="973"/>
    </row>
    <row r="208" spans="1:198" ht="12.75" thickTop="1">
      <c r="A208" s="763"/>
      <c r="B208" s="846" t="s">
        <v>1464</v>
      </c>
      <c r="I208" s="771"/>
      <c r="J208" s="770">
        <v>177</v>
      </c>
      <c r="K208" s="828">
        <f>K116-K191-K207</f>
        <v>0</v>
      </c>
      <c r="O208" s="828">
        <f>O116-O191-O207</f>
        <v>0</v>
      </c>
      <c r="Q208" s="828">
        <f>Q116-Q191-Q207</f>
        <v>0</v>
      </c>
      <c r="U208" s="828">
        <f>U116-U191-U207</f>
        <v>0</v>
      </c>
      <c r="W208" s="828">
        <f>W116-W191-W207</f>
        <v>0</v>
      </c>
      <c r="AA208" s="828">
        <f>AA116-AA191-AA207</f>
        <v>0</v>
      </c>
      <c r="AC208" s="828">
        <f>AC116-AC191-AC207</f>
        <v>0</v>
      </c>
      <c r="AG208" s="828">
        <f>AG116-AG191-AG207</f>
        <v>0</v>
      </c>
      <c r="AI208" s="828">
        <f>AI116-AI191-AI207</f>
        <v>0</v>
      </c>
      <c r="AO208" s="828">
        <f>AO116-AO191-AO207</f>
        <v>0</v>
      </c>
      <c r="AQ208" s="828">
        <f>AQ116-AQ191-AQ207</f>
        <v>0</v>
      </c>
      <c r="AU208" s="828">
        <f>AU116-AU191-AU207</f>
        <v>0</v>
      </c>
      <c r="AW208" s="828">
        <f>AW116-AW191-AW207</f>
        <v>0</v>
      </c>
      <c r="BA208" s="828">
        <f>BA116-BA191-BA207</f>
        <v>0</v>
      </c>
      <c r="BC208" s="828">
        <f>BC116-BC191-BC207</f>
        <v>0</v>
      </c>
      <c r="BG208" s="828">
        <f>BG116-BG191-BG207</f>
        <v>0</v>
      </c>
      <c r="BI208" s="828">
        <f>BI116-BI191-BI207</f>
        <v>0</v>
      </c>
      <c r="BM208" s="828">
        <f>BM116-BM191-BM207</f>
        <v>0</v>
      </c>
      <c r="BO208" s="828">
        <f>BO116-BO191-BO207</f>
        <v>0</v>
      </c>
      <c r="BQ208" s="952"/>
      <c r="BU208" s="828">
        <f>BU116-BU191-BU207</f>
        <v>0</v>
      </c>
      <c r="BW208" s="828">
        <f>BW116-BW191-BW207</f>
        <v>0</v>
      </c>
      <c r="BZ208" s="952"/>
      <c r="CB208" s="761"/>
      <c r="CD208" s="952"/>
      <c r="CH208" s="828">
        <f>CH116-CH191-CH207</f>
        <v>0</v>
      </c>
      <c r="CJ208" s="828">
        <f>CJ116-CJ191-CJ207</f>
        <v>0</v>
      </c>
      <c r="CN208" s="828">
        <f>CN116-CN191-CN207</f>
        <v>0</v>
      </c>
      <c r="CP208" s="828">
        <f>CP116-CP191-CP207</f>
        <v>0</v>
      </c>
      <c r="CT208" s="828">
        <f>CT116-CT191-CT207</f>
        <v>0</v>
      </c>
      <c r="CV208" s="828">
        <f>CV116-CV191-CV207</f>
        <v>0</v>
      </c>
      <c r="CZ208" s="828">
        <f>CZ116-CZ191-CZ207</f>
        <v>0</v>
      </c>
      <c r="DB208" s="828">
        <f>DB116-DB191-DB207</f>
        <v>0</v>
      </c>
      <c r="DF208" s="828">
        <f>DF116-DF191-DF207</f>
        <v>0</v>
      </c>
      <c r="DH208" s="828">
        <f>DH116-DH191-DH207</f>
        <v>0</v>
      </c>
      <c r="DL208" s="828">
        <f>DL116-DL191-DL207</f>
        <v>0</v>
      </c>
      <c r="DN208" s="828">
        <f>DN116-DN191-DN207</f>
        <v>0</v>
      </c>
      <c r="DR208" s="828">
        <f>DR116-DR191-DR207</f>
        <v>0</v>
      </c>
      <c r="DT208" s="828">
        <f>DT116-DT191-DT207</f>
        <v>0</v>
      </c>
      <c r="DV208" s="977"/>
      <c r="DZ208" s="828">
        <f>DZ116-DZ191-DZ207</f>
        <v>0</v>
      </c>
      <c r="EB208" s="828">
        <f>EB116-EB191-EB207</f>
        <v>0</v>
      </c>
      <c r="ED208" s="978"/>
      <c r="EH208" s="828">
        <f>EH116-EH191-EH207</f>
        <v>0</v>
      </c>
      <c r="EJ208" s="828">
        <f>EJ116-EJ191-EJ207</f>
        <v>0</v>
      </c>
      <c r="EN208" s="828">
        <f>EN116-EN191-EN207</f>
        <v>0</v>
      </c>
      <c r="EP208" s="828">
        <f>EP116-EP191-EP207</f>
        <v>0</v>
      </c>
      <c r="ET208" s="828">
        <f>ET116-ET191-ET207</f>
        <v>0</v>
      </c>
      <c r="EV208" s="828">
        <f>EV116-EV191-EV207</f>
        <v>0</v>
      </c>
      <c r="EZ208" s="828">
        <f>EZ116-EZ191-EZ207</f>
        <v>0</v>
      </c>
      <c r="FB208" s="761"/>
      <c r="FD208" s="761"/>
      <c r="FF208" s="828">
        <f>FF116-FF191-FF207</f>
        <v>0</v>
      </c>
      <c r="FJ208" s="828">
        <f>FJ116-FJ191-FJ207</f>
        <v>0</v>
      </c>
      <c r="FL208" s="828">
        <f>FL116-FL191-FL207</f>
        <v>0</v>
      </c>
      <c r="FP208" s="828">
        <f>FP116-FP191-FP207</f>
        <v>0</v>
      </c>
      <c r="FR208" s="828">
        <f>FR116-FR191-FR207</f>
        <v>0</v>
      </c>
      <c r="FV208" s="828">
        <f>FV116-FV191-FV207</f>
        <v>0</v>
      </c>
      <c r="FX208" s="828">
        <f>FX116-FX191-FX207</f>
        <v>0</v>
      </c>
      <c r="GB208" s="828">
        <f>GB116-GB191-GB207</f>
        <v>0</v>
      </c>
      <c r="GD208" s="828">
        <v>0</v>
      </c>
      <c r="GH208" s="828">
        <v>0</v>
      </c>
      <c r="GL208" s="973">
        <f t="shared" si="583"/>
        <v>0</v>
      </c>
      <c r="GN208" s="973"/>
      <c r="GP208" s="973"/>
    </row>
    <row r="209" spans="1:198" hidden="1">
      <c r="J209" s="758">
        <v>178</v>
      </c>
      <c r="BP209" s="761"/>
      <c r="BQ209" s="952"/>
      <c r="BV209" s="761"/>
      <c r="BW209" s="761"/>
      <c r="BX209" s="761"/>
      <c r="BY209" s="761"/>
      <c r="BZ209" s="952"/>
      <c r="CA209" s="761"/>
      <c r="CB209" s="761"/>
      <c r="CC209" s="761"/>
      <c r="CD209" s="952"/>
      <c r="CO209" s="761"/>
      <c r="CP209" s="761"/>
      <c r="CU209" s="761"/>
      <c r="CV209" s="761"/>
      <c r="DA209" s="761"/>
      <c r="DB209" s="761"/>
      <c r="DG209" s="761"/>
      <c r="DH209" s="761"/>
      <c r="DM209" s="761"/>
      <c r="DN209" s="761"/>
      <c r="DS209" s="761"/>
      <c r="DT209" s="761"/>
      <c r="DU209" s="761"/>
      <c r="DV209" s="977"/>
      <c r="EA209" s="761"/>
      <c r="EB209" s="761"/>
      <c r="EC209" s="761"/>
      <c r="ED209" s="978"/>
      <c r="EI209" s="761"/>
      <c r="EJ209" s="761"/>
      <c r="EO209" s="761"/>
      <c r="EP209" s="761"/>
      <c r="EV209" s="761"/>
      <c r="FB209" s="761"/>
      <c r="FD209" s="761"/>
      <c r="GL209" s="973">
        <f t="shared" si="583"/>
        <v>0</v>
      </c>
      <c r="GN209" s="973"/>
      <c r="GP209" s="973"/>
    </row>
    <row r="210" spans="1:198" hidden="1">
      <c r="A210" s="763" t="s">
        <v>507</v>
      </c>
      <c r="J210" s="770">
        <v>179</v>
      </c>
      <c r="BQ210" s="952"/>
      <c r="BW210" s="761"/>
      <c r="BZ210" s="952"/>
      <c r="CB210" s="761"/>
      <c r="CD210" s="952"/>
      <c r="CP210" s="761"/>
      <c r="CV210" s="761"/>
      <c r="DB210" s="761"/>
      <c r="DH210" s="761"/>
      <c r="DN210" s="761"/>
      <c r="DT210" s="761"/>
      <c r="DV210" s="977"/>
      <c r="EB210" s="761"/>
      <c r="ED210" s="978"/>
      <c r="EJ210" s="761"/>
      <c r="EP210" s="761"/>
      <c r="EV210" s="761"/>
      <c r="FB210" s="761"/>
      <c r="FD210" s="761"/>
      <c r="GL210" s="973">
        <f t="shared" si="583"/>
        <v>0</v>
      </c>
      <c r="GN210" s="973"/>
      <c r="GP210" s="973"/>
    </row>
    <row r="211" spans="1:198" hidden="1">
      <c r="A211" s="763" t="s">
        <v>528</v>
      </c>
      <c r="I211" s="771"/>
      <c r="J211" s="758">
        <v>180</v>
      </c>
      <c r="BQ211" s="952"/>
      <c r="BW211" s="761"/>
      <c r="BZ211" s="952"/>
      <c r="CB211" s="761"/>
      <c r="CD211" s="952"/>
      <c r="CP211" s="761"/>
      <c r="CV211" s="761"/>
      <c r="DB211" s="761"/>
      <c r="DH211" s="761"/>
      <c r="DN211" s="761"/>
      <c r="DT211" s="761"/>
      <c r="DV211" s="977"/>
      <c r="EB211" s="761"/>
      <c r="ED211" s="978"/>
      <c r="EJ211" s="761"/>
      <c r="EP211" s="761"/>
      <c r="EV211" s="761"/>
      <c r="FB211" s="761"/>
      <c r="FD211" s="761"/>
      <c r="GL211" s="973">
        <f t="shared" si="583"/>
        <v>0</v>
      </c>
      <c r="GN211" s="973"/>
      <c r="GP211" s="973"/>
    </row>
    <row r="212" spans="1:198" hidden="1">
      <c r="A212" s="763"/>
      <c r="J212" s="770">
        <v>181</v>
      </c>
      <c r="BQ212" s="952"/>
      <c r="BW212" s="761"/>
      <c r="BZ212" s="952"/>
      <c r="CB212" s="761"/>
      <c r="CD212" s="952"/>
      <c r="CP212" s="761"/>
      <c r="CV212" s="761"/>
      <c r="DB212" s="761"/>
      <c r="DH212" s="761"/>
      <c r="DN212" s="761"/>
      <c r="DT212" s="761"/>
      <c r="DV212" s="977"/>
      <c r="EB212" s="761"/>
      <c r="ED212" s="978"/>
      <c r="EJ212" s="761"/>
      <c r="EP212" s="761"/>
      <c r="EV212" s="761"/>
      <c r="FB212" s="761"/>
      <c r="FD212" s="761"/>
      <c r="GL212" s="973">
        <f t="shared" si="583"/>
        <v>0</v>
      </c>
      <c r="GN212" s="973"/>
      <c r="GP212" s="973"/>
    </row>
    <row r="213" spans="1:198">
      <c r="J213" s="758">
        <v>182</v>
      </c>
      <c r="BQ213" s="952"/>
      <c r="BW213" s="761"/>
      <c r="BZ213" s="952"/>
      <c r="CB213" s="761"/>
      <c r="CD213" s="952"/>
      <c r="CP213" s="761"/>
      <c r="CV213" s="761"/>
      <c r="DB213" s="761"/>
      <c r="DH213" s="761"/>
      <c r="DN213" s="761"/>
      <c r="DT213" s="761"/>
      <c r="DV213" s="977"/>
      <c r="EB213" s="761"/>
      <c r="ED213" s="978"/>
      <c r="EJ213" s="761"/>
      <c r="EP213" s="761"/>
      <c r="EV213" s="761"/>
      <c r="FB213" s="761"/>
      <c r="FD213" s="761"/>
      <c r="GL213" s="973">
        <f t="shared" si="583"/>
        <v>0</v>
      </c>
      <c r="GN213" s="973"/>
      <c r="GP213" s="973"/>
    </row>
    <row r="214" spans="1:198">
      <c r="A214" s="763" t="s">
        <v>622</v>
      </c>
      <c r="I214" s="771"/>
      <c r="J214" s="770">
        <v>183</v>
      </c>
      <c r="BQ214" s="952"/>
      <c r="BW214" s="761"/>
      <c r="BZ214" s="952"/>
      <c r="CB214" s="761"/>
      <c r="CD214" s="952"/>
      <c r="CP214" s="761"/>
      <c r="CV214" s="761"/>
      <c r="DB214" s="761"/>
      <c r="DH214" s="761"/>
      <c r="DN214" s="761"/>
      <c r="DT214" s="761"/>
      <c r="DV214" s="977"/>
      <c r="EB214" s="761"/>
      <c r="ED214" s="978"/>
      <c r="EJ214" s="761"/>
      <c r="EP214" s="761"/>
      <c r="EV214" s="761"/>
      <c r="FB214" s="761"/>
      <c r="FD214" s="761"/>
      <c r="GL214" s="973">
        <f t="shared" si="583"/>
        <v>0</v>
      </c>
      <c r="GN214" s="973"/>
      <c r="GP214" s="973"/>
    </row>
    <row r="215" spans="1:198">
      <c r="A215" s="763" t="str">
        <f>A11</f>
        <v>For the Year Ended June 30, 2023</v>
      </c>
      <c r="J215" s="758">
        <v>184</v>
      </c>
      <c r="BQ215" s="952"/>
      <c r="BW215" s="761"/>
      <c r="BZ215" s="952"/>
      <c r="CB215" s="761"/>
      <c r="CD215" s="952"/>
      <c r="CP215" s="761"/>
      <c r="CV215" s="761"/>
      <c r="DB215" s="761"/>
      <c r="DH215" s="761"/>
      <c r="DN215" s="761"/>
      <c r="DT215" s="761"/>
      <c r="DV215" s="977"/>
      <c r="EB215" s="761"/>
      <c r="ED215" s="978"/>
      <c r="EJ215" s="761"/>
      <c r="EP215" s="761"/>
      <c r="EV215" s="761"/>
      <c r="FB215" s="761"/>
      <c r="FD215" s="761"/>
      <c r="GL215" s="973">
        <f t="shared" si="583"/>
        <v>0</v>
      </c>
      <c r="GN215" s="973"/>
    </row>
    <row r="216" spans="1:198" ht="51" customHeight="1">
      <c r="A216" s="763" t="s">
        <v>623</v>
      </c>
      <c r="J216" s="770">
        <v>185</v>
      </c>
      <c r="K216" s="958" t="s">
        <v>656</v>
      </c>
      <c r="M216" s="774" t="s">
        <v>1711</v>
      </c>
      <c r="O216" s="774" t="s">
        <v>579</v>
      </c>
      <c r="P216" s="772"/>
      <c r="Q216" s="959" t="s">
        <v>278</v>
      </c>
      <c r="S216" s="774" t="s">
        <v>1711</v>
      </c>
      <c r="U216" s="774" t="s">
        <v>579</v>
      </c>
      <c r="V216" s="772"/>
      <c r="W216" s="958" t="s">
        <v>616</v>
      </c>
      <c r="Y216" s="774" t="s">
        <v>1711</v>
      </c>
      <c r="AA216" s="774" t="s">
        <v>579</v>
      </c>
      <c r="AB216" s="772"/>
      <c r="AC216" s="958" t="s">
        <v>487</v>
      </c>
      <c r="AE216" s="774" t="s">
        <v>1711</v>
      </c>
      <c r="AG216" s="774" t="s">
        <v>579</v>
      </c>
      <c r="AH216" s="772"/>
      <c r="AI216" s="959" t="s">
        <v>490</v>
      </c>
      <c r="AJ216" s="772"/>
      <c r="AK216" s="959" t="s">
        <v>1712</v>
      </c>
      <c r="AM216" s="774" t="s">
        <v>1711</v>
      </c>
      <c r="AO216" s="774" t="s">
        <v>579</v>
      </c>
      <c r="AP216" s="772"/>
      <c r="AQ216" s="958" t="s">
        <v>488</v>
      </c>
      <c r="AS216" s="774" t="s">
        <v>1711</v>
      </c>
      <c r="AU216" s="774" t="s">
        <v>579</v>
      </c>
      <c r="AV216" s="772"/>
      <c r="AW216" s="958" t="s">
        <v>35</v>
      </c>
      <c r="AY216" s="774" t="s">
        <v>1711</v>
      </c>
      <c r="BA216" s="774" t="s">
        <v>579</v>
      </c>
      <c r="BB216" s="772"/>
      <c r="BC216" s="959" t="s">
        <v>491</v>
      </c>
      <c r="BE216" s="774" t="s">
        <v>1711</v>
      </c>
      <c r="BG216" s="774" t="s">
        <v>579</v>
      </c>
      <c r="BH216" s="772"/>
      <c r="BI216" s="959" t="s">
        <v>1092</v>
      </c>
      <c r="BK216" s="774" t="s">
        <v>1711</v>
      </c>
      <c r="BM216" s="774" t="s">
        <v>579</v>
      </c>
      <c r="BN216" s="772"/>
      <c r="BO216" s="958" t="s">
        <v>489</v>
      </c>
      <c r="BQ216" s="960" t="s">
        <v>1713</v>
      </c>
      <c r="BS216" s="774" t="s">
        <v>1711</v>
      </c>
      <c r="BU216" s="774" t="s">
        <v>579</v>
      </c>
      <c r="BW216" s="959" t="s">
        <v>53</v>
      </c>
      <c r="BZ216" s="960" t="s">
        <v>1714</v>
      </c>
      <c r="CB216" s="773" t="str">
        <f>CB32</f>
        <v>Virginia Offshore Wind Development Authority</v>
      </c>
      <c r="CD216" s="960" t="str">
        <f>CD32</f>
        <v>Virginia Universities Clean Energy Development and Economic Stimulus Foundation</v>
      </c>
      <c r="CF216" s="774" t="s">
        <v>1711</v>
      </c>
      <c r="CH216" s="774" t="s">
        <v>579</v>
      </c>
      <c r="CJ216" s="958" t="str">
        <f>CJ32</f>
        <v>Virginia Health Workforce Development Authority
Preliminary</v>
      </c>
      <c r="CL216" s="774" t="s">
        <v>1711</v>
      </c>
      <c r="CN216" s="774" t="s">
        <v>579</v>
      </c>
      <c r="CP216" s="959" t="s">
        <v>54</v>
      </c>
      <c r="CR216" s="774" t="s">
        <v>1711</v>
      </c>
      <c r="CT216" s="774" t="s">
        <v>579</v>
      </c>
      <c r="CV216" s="962" t="s">
        <v>1716</v>
      </c>
      <c r="CX216" s="774" t="s">
        <v>1711</v>
      </c>
      <c r="CZ216" s="774" t="s">
        <v>579</v>
      </c>
      <c r="DB216" s="959" t="s">
        <v>55</v>
      </c>
      <c r="DD216" s="774" t="s">
        <v>1711</v>
      </c>
      <c r="DF216" s="774" t="s">
        <v>579</v>
      </c>
      <c r="DH216" s="962" t="s">
        <v>1717</v>
      </c>
      <c r="DJ216" s="774" t="s">
        <v>1711</v>
      </c>
      <c r="DL216" s="774" t="s">
        <v>579</v>
      </c>
      <c r="DN216" s="962" t="s">
        <v>1718</v>
      </c>
      <c r="DP216" s="774" t="s">
        <v>1711</v>
      </c>
      <c r="DR216" s="774" t="s">
        <v>579</v>
      </c>
      <c r="DT216" s="964" t="s">
        <v>983</v>
      </c>
      <c r="DV216" s="965">
        <f>DV32</f>
        <v>0</v>
      </c>
      <c r="DX216" s="774" t="s">
        <v>1711</v>
      </c>
      <c r="DZ216" s="774" t="s">
        <v>579</v>
      </c>
      <c r="EB216" s="959" t="s">
        <v>56</v>
      </c>
      <c r="ED216" s="966">
        <f>ED32</f>
        <v>0</v>
      </c>
      <c r="EF216" s="774" t="s">
        <v>1711</v>
      </c>
      <c r="EH216" s="774" t="s">
        <v>579</v>
      </c>
      <c r="EJ216" s="959" t="str">
        <f>EJ32</f>
        <v>Virginia Resources Authority
Preliminary</v>
      </c>
      <c r="EL216" s="774" t="s">
        <v>1711</v>
      </c>
      <c r="EN216" s="774" t="s">
        <v>579</v>
      </c>
      <c r="EP216" s="959" t="str">
        <f>EP32</f>
        <v>Virginia Housing Development Authority
Preliminary</v>
      </c>
      <c r="ER216" s="774" t="s">
        <v>1711</v>
      </c>
      <c r="ET216" s="774" t="s">
        <v>579</v>
      </c>
      <c r="EV216" s="964" t="str">
        <f>EV32</f>
        <v>Virginia Port Authority
Preliminary</v>
      </c>
      <c r="EX216" s="774" t="s">
        <v>1711</v>
      </c>
      <c r="EZ216" s="774" t="s">
        <v>579</v>
      </c>
      <c r="FB216" s="960"/>
      <c r="FD216" s="773" t="str">
        <f>FD32</f>
        <v>Virginia Solar Energy Development and Energy Storage Authority</v>
      </c>
      <c r="FF216" s="959" t="str">
        <f>FF32</f>
        <v>Virginia Public School Authority
Preliminary</v>
      </c>
      <c r="FH216" s="774" t="s">
        <v>1711</v>
      </c>
      <c r="FJ216" s="774" t="s">
        <v>579</v>
      </c>
      <c r="FL216" s="959" t="str">
        <f>FL32</f>
        <v>Virginia Innovation Partnership Authority
Preliminary</v>
      </c>
      <c r="FN216" s="774" t="s">
        <v>1711</v>
      </c>
      <c r="FP216" s="774" t="s">
        <v>579</v>
      </c>
      <c r="FR216" s="959" t="str">
        <f>FR32</f>
        <v>Virginia Passenger Rail Authority
Preliminary</v>
      </c>
      <c r="FT216" s="774" t="s">
        <v>1711</v>
      </c>
      <c r="FV216" s="774" t="s">
        <v>579</v>
      </c>
      <c r="FX216" s="962" t="s">
        <v>1719</v>
      </c>
      <c r="FZ216" s="774" t="s">
        <v>1711</v>
      </c>
      <c r="GB216" s="774" t="s">
        <v>579</v>
      </c>
      <c r="GD216" s="962" t="s">
        <v>1861</v>
      </c>
      <c r="GF216" s="774" t="s">
        <v>1711</v>
      </c>
      <c r="GH216" s="774" t="s">
        <v>579</v>
      </c>
      <c r="GL216" s="973">
        <f t="shared" si="583"/>
        <v>0</v>
      </c>
      <c r="GN216" s="973"/>
    </row>
    <row r="217" spans="1:198">
      <c r="A217" s="766" t="s">
        <v>625</v>
      </c>
      <c r="I217" s="771"/>
      <c r="J217" s="758">
        <v>186</v>
      </c>
      <c r="K217" s="775"/>
      <c r="M217" s="775"/>
      <c r="O217" s="775">
        <f t="shared" ref="O217:O220" si="753">K217+M217</f>
        <v>0</v>
      </c>
      <c r="Q217" s="776">
        <v>7010849</v>
      </c>
      <c r="S217" s="775"/>
      <c r="U217" s="775">
        <f t="shared" ref="U217:U220" si="754">Q217+S217</f>
        <v>7010849</v>
      </c>
      <c r="W217" s="775"/>
      <c r="Y217" s="775"/>
      <c r="AA217" s="775">
        <f t="shared" ref="AA217:AA220" si="755">W217+Y217</f>
        <v>0</v>
      </c>
      <c r="AC217" s="775"/>
      <c r="AE217" s="775"/>
      <c r="AG217" s="775">
        <f t="shared" ref="AG217:AG220" si="756">AC217+AE217</f>
        <v>0</v>
      </c>
      <c r="AI217" s="775">
        <v>521023</v>
      </c>
      <c r="AK217" s="970">
        <v>0</v>
      </c>
      <c r="AM217" s="775"/>
      <c r="AO217" s="775">
        <f t="shared" ref="AO217:AO220" si="757">AI217+AM217</f>
        <v>521023</v>
      </c>
      <c r="AQ217" s="775"/>
      <c r="AS217" s="775"/>
      <c r="AU217" s="775">
        <f t="shared" ref="AU217:AU220" si="758">AQ217+AS217</f>
        <v>0</v>
      </c>
      <c r="AW217" s="775">
        <v>1689444</v>
      </c>
      <c r="AY217" s="775"/>
      <c r="BA217" s="775">
        <f t="shared" ref="BA217:BA220" si="759">AW217+AY217</f>
        <v>1689444</v>
      </c>
      <c r="BC217" s="775">
        <v>997272</v>
      </c>
      <c r="BE217" s="775"/>
      <c r="BG217" s="775">
        <f t="shared" ref="BG217:BG220" si="760">BC217+BE217</f>
        <v>997272</v>
      </c>
      <c r="BI217" s="775"/>
      <c r="BK217" s="775"/>
      <c r="BM217" s="775">
        <f t="shared" ref="BM217:BM220" si="761">BI217+BK217</f>
        <v>0</v>
      </c>
      <c r="BO217" s="775"/>
      <c r="BQ217" s="970"/>
      <c r="BS217" s="775"/>
      <c r="BU217" s="775">
        <f t="shared" ref="BU217:BU220" si="762">BO217+BS217</f>
        <v>0</v>
      </c>
      <c r="BW217" s="775">
        <v>7165549</v>
      </c>
      <c r="BZ217" s="970"/>
      <c r="CB217" s="775"/>
      <c r="CD217" s="970"/>
      <c r="CF217" s="775"/>
      <c r="CH217" s="775">
        <f t="shared" ref="CH217:CH220" si="763">BW217+CF217</f>
        <v>7165549</v>
      </c>
      <c r="CJ217" s="775"/>
      <c r="CL217" s="775"/>
      <c r="CN217" s="775">
        <f t="shared" ref="CN217:CN220" si="764">CJ217+CL217</f>
        <v>0</v>
      </c>
      <c r="CP217" s="775">
        <v>5591024</v>
      </c>
      <c r="CR217" s="775"/>
      <c r="CT217" s="775">
        <f t="shared" ref="CT217:CT220" si="765">CP217+CR217</f>
        <v>5591024</v>
      </c>
      <c r="CV217" s="775">
        <v>23154</v>
      </c>
      <c r="CX217" s="775"/>
      <c r="CZ217" s="775">
        <f t="shared" ref="CZ217:CZ220" si="766">CV217+CX217</f>
        <v>23154</v>
      </c>
      <c r="DB217" s="775">
        <v>395228000</v>
      </c>
      <c r="DD217" s="775"/>
      <c r="DF217" s="775">
        <f t="shared" ref="DF217:DF220" si="767">DB217+DD217</f>
        <v>395228000</v>
      </c>
      <c r="DH217" s="775">
        <v>93468</v>
      </c>
      <c r="DJ217" s="775"/>
      <c r="DL217" s="775">
        <f t="shared" ref="DL217:DL220" si="768">DH217+DJ217</f>
        <v>93468</v>
      </c>
      <c r="DN217" s="775"/>
      <c r="DP217" s="775"/>
      <c r="DR217" s="775">
        <f t="shared" ref="DR217:DR220" si="769">DN217+DP217</f>
        <v>0</v>
      </c>
      <c r="DT217" s="776">
        <v>1553859</v>
      </c>
      <c r="DV217" s="971">
        <v>0</v>
      </c>
      <c r="DX217" s="775"/>
      <c r="DZ217" s="775">
        <f t="shared" ref="DZ217:DZ220" si="770">DT217+DX217</f>
        <v>1553859</v>
      </c>
      <c r="EB217" s="775">
        <v>2400000</v>
      </c>
      <c r="ED217" s="972"/>
      <c r="EF217" s="775"/>
      <c r="EH217" s="775">
        <f t="shared" ref="EH217:EH220" si="771">EB217+EF217</f>
        <v>2400000</v>
      </c>
      <c r="EJ217" s="775">
        <v>102526083</v>
      </c>
      <c r="EL217" s="775"/>
      <c r="EN217" s="775">
        <f t="shared" ref="EN217:EN220" si="772">EJ217+EL217</f>
        <v>102526083</v>
      </c>
      <c r="EP217" s="775">
        <v>370601586</v>
      </c>
      <c r="ER217" s="775"/>
      <c r="ET217" s="775">
        <f t="shared" ref="ET217:ET220" si="773">EP217+ER217</f>
        <v>370601586</v>
      </c>
      <c r="EV217" s="775">
        <v>813265305</v>
      </c>
      <c r="EX217" s="775"/>
      <c r="EZ217" s="775">
        <f t="shared" ref="EZ217:EZ220" si="774">EV217+EX217</f>
        <v>813265305</v>
      </c>
      <c r="FB217" s="775"/>
      <c r="FD217" s="775"/>
      <c r="FF217" s="775">
        <v>132288952</v>
      </c>
      <c r="FH217" s="775"/>
      <c r="FJ217" s="775">
        <f t="shared" ref="FJ217:FJ220" si="775">FF217+FH217</f>
        <v>132288952</v>
      </c>
      <c r="FL217" s="775">
        <v>5889205</v>
      </c>
      <c r="FN217" s="775"/>
      <c r="FP217" s="775">
        <f t="shared" ref="FP217:FP220" si="776">FL217+FN217</f>
        <v>5889205</v>
      </c>
      <c r="FR217" s="775">
        <v>85375359</v>
      </c>
      <c r="FT217" s="775"/>
      <c r="FV217" s="775">
        <f t="shared" ref="FV217:FV220" si="777">FR217+FT217</f>
        <v>85375359</v>
      </c>
      <c r="FX217" s="775">
        <v>194447</v>
      </c>
      <c r="FZ217" s="775"/>
      <c r="GB217" s="775">
        <f t="shared" ref="GB217:GB220" si="778">FX217+FZ217</f>
        <v>194447</v>
      </c>
      <c r="GD217" s="775">
        <v>47017489</v>
      </c>
      <c r="GF217" s="775"/>
      <c r="GH217" s="775">
        <v>47017489</v>
      </c>
      <c r="GK217" s="761">
        <f t="shared" ref="GK217:GK220" si="779">O217+U217+AA217+AG217+AO217+AU217+BA217+BG217+BM217+BU217+CH217+CN217+CT217+CZ217+DF217+DL217+DR217+DZ217+EH217+EN217+ET217+EZ217+FJ217+FP217+FV217+GB217</f>
        <v>1932414579</v>
      </c>
      <c r="GL217" s="973">
        <f t="shared" si="583"/>
        <v>1932414.5789999999</v>
      </c>
      <c r="GM217" s="761">
        <f t="shared" ref="GM217:GM221" si="780">O217+U217+AA217+AG217+AO217+BA217+BG217+BM217+BU217+CH217+CN217+CT217+DF217+DZ217+EH217+EN217+ET217+EZ217+FJ217+FP217+FV217</f>
        <v>1932103510</v>
      </c>
      <c r="GN217" s="973"/>
    </row>
    <row r="218" spans="1:198">
      <c r="A218" s="766" t="s">
        <v>626</v>
      </c>
      <c r="J218" s="770">
        <v>187</v>
      </c>
      <c r="K218" s="775"/>
      <c r="M218" s="775"/>
      <c r="O218" s="775">
        <f t="shared" si="753"/>
        <v>0</v>
      </c>
      <c r="Q218" s="776">
        <v>142500</v>
      </c>
      <c r="S218" s="775">
        <v>6892</v>
      </c>
      <c r="U218" s="775">
        <f t="shared" si="754"/>
        <v>149392</v>
      </c>
      <c r="W218" s="776">
        <v>379281</v>
      </c>
      <c r="Y218" s="775"/>
      <c r="AA218" s="775">
        <f t="shared" si="755"/>
        <v>379281</v>
      </c>
      <c r="AC218" s="775">
        <v>2192869</v>
      </c>
      <c r="AE218" s="775"/>
      <c r="AG218" s="775">
        <f t="shared" si="756"/>
        <v>2192869</v>
      </c>
      <c r="AI218" s="775">
        <v>1395040</v>
      </c>
      <c r="AK218" s="970">
        <v>0</v>
      </c>
      <c r="AM218" s="775"/>
      <c r="AO218" s="775">
        <f t="shared" si="757"/>
        <v>1395040</v>
      </c>
      <c r="AQ218" s="775"/>
      <c r="AS218" s="775"/>
      <c r="AU218" s="775">
        <f t="shared" si="758"/>
        <v>0</v>
      </c>
      <c r="AW218" s="776">
        <v>71220519</v>
      </c>
      <c r="AY218" s="775"/>
      <c r="BA218" s="775">
        <f t="shared" si="759"/>
        <v>71220519</v>
      </c>
      <c r="BC218" s="775">
        <v>2455190</v>
      </c>
      <c r="BE218" s="775"/>
      <c r="BG218" s="775">
        <f t="shared" si="760"/>
        <v>2455190</v>
      </c>
      <c r="BI218" s="775"/>
      <c r="BK218" s="775"/>
      <c r="BM218" s="775">
        <f t="shared" si="761"/>
        <v>0</v>
      </c>
      <c r="BO218" s="775">
        <v>1260</v>
      </c>
      <c r="BQ218" s="970"/>
      <c r="BS218" s="775"/>
      <c r="BU218" s="775">
        <f t="shared" si="762"/>
        <v>1260</v>
      </c>
      <c r="BW218" s="776"/>
      <c r="BZ218" s="970"/>
      <c r="CB218" s="775"/>
      <c r="CD218" s="970"/>
      <c r="CF218" s="775"/>
      <c r="CH218" s="775">
        <f t="shared" si="763"/>
        <v>0</v>
      </c>
      <c r="CJ218" s="775">
        <v>2437767</v>
      </c>
      <c r="CL218" s="775"/>
      <c r="CN218" s="775">
        <f t="shared" si="764"/>
        <v>2437767</v>
      </c>
      <c r="CP218" s="775">
        <v>2382437</v>
      </c>
      <c r="CR218" s="775"/>
      <c r="CT218" s="775">
        <f t="shared" si="765"/>
        <v>2382437</v>
      </c>
      <c r="CV218" s="775">
        <v>313415</v>
      </c>
      <c r="CX218" s="775">
        <v>-218907</v>
      </c>
      <c r="CZ218" s="775">
        <f t="shared" si="766"/>
        <v>94508</v>
      </c>
      <c r="DB218" s="775"/>
      <c r="DD218" s="775"/>
      <c r="DF218" s="775">
        <f t="shared" si="767"/>
        <v>0</v>
      </c>
      <c r="DH218" s="776"/>
      <c r="DJ218" s="775"/>
      <c r="DL218" s="775">
        <f t="shared" si="768"/>
        <v>0</v>
      </c>
      <c r="DN218" s="775">
        <v>3112041</v>
      </c>
      <c r="DP218" s="775">
        <v>-2068756</v>
      </c>
      <c r="DR218" s="775">
        <f t="shared" si="769"/>
        <v>1043285</v>
      </c>
      <c r="DT218" s="775">
        <v>2919772</v>
      </c>
      <c r="DV218" s="971">
        <v>0</v>
      </c>
      <c r="DX218" s="775"/>
      <c r="DZ218" s="775">
        <f t="shared" si="770"/>
        <v>2919772</v>
      </c>
      <c r="EB218" s="775">
        <v>9095000</v>
      </c>
      <c r="ED218" s="972"/>
      <c r="EF218" s="775"/>
      <c r="EH218" s="775">
        <f t="shared" si="771"/>
        <v>9095000</v>
      </c>
      <c r="EJ218" s="775">
        <v>26090090</v>
      </c>
      <c r="EL218" s="775"/>
      <c r="EN218" s="775">
        <f t="shared" si="772"/>
        <v>26090090</v>
      </c>
      <c r="EP218" s="775">
        <v>239264660</v>
      </c>
      <c r="ER218" s="775"/>
      <c r="ET218" s="775">
        <f t="shared" si="773"/>
        <v>239264660</v>
      </c>
      <c r="EV218" s="775">
        <v>77587700</v>
      </c>
      <c r="EX218" s="775"/>
      <c r="EZ218" s="775">
        <f t="shared" si="774"/>
        <v>77587700</v>
      </c>
      <c r="FB218" s="775"/>
      <c r="FD218" s="775"/>
      <c r="FF218" s="775">
        <v>7179762</v>
      </c>
      <c r="FH218" s="775"/>
      <c r="FJ218" s="775">
        <f t="shared" si="775"/>
        <v>7179762</v>
      </c>
      <c r="FL218" s="775">
        <v>5639634</v>
      </c>
      <c r="FN218" s="775"/>
      <c r="FP218" s="775">
        <f t="shared" si="776"/>
        <v>5639634</v>
      </c>
      <c r="FR218" s="775"/>
      <c r="FT218" s="775"/>
      <c r="FV218" s="775">
        <f t="shared" si="777"/>
        <v>0</v>
      </c>
      <c r="FX218" s="775">
        <v>27196083</v>
      </c>
      <c r="FZ218" s="775">
        <v>-3547031</v>
      </c>
      <c r="GB218" s="775">
        <f t="shared" si="778"/>
        <v>23649052</v>
      </c>
      <c r="GD218" s="775">
        <v>6597861</v>
      </c>
      <c r="GF218" s="775"/>
      <c r="GH218" s="775">
        <v>6597861</v>
      </c>
      <c r="GK218" s="761">
        <f t="shared" si="779"/>
        <v>475177218</v>
      </c>
      <c r="GL218" s="973">
        <f t="shared" si="583"/>
        <v>475177.21799999999</v>
      </c>
      <c r="GM218" s="761">
        <f t="shared" si="780"/>
        <v>450390373</v>
      </c>
      <c r="GN218" s="973"/>
    </row>
    <row r="219" spans="1:198">
      <c r="A219" s="766" t="s">
        <v>73</v>
      </c>
      <c r="J219" s="758">
        <v>188</v>
      </c>
      <c r="K219" s="775"/>
      <c r="M219" s="775"/>
      <c r="O219" s="775">
        <f t="shared" si="753"/>
        <v>0</v>
      </c>
      <c r="Q219" s="775"/>
      <c r="S219" s="775"/>
      <c r="U219" s="775">
        <f t="shared" si="754"/>
        <v>0</v>
      </c>
      <c r="W219" s="775"/>
      <c r="Y219" s="775"/>
      <c r="AA219" s="775">
        <f t="shared" si="755"/>
        <v>0</v>
      </c>
      <c r="AC219" s="775"/>
      <c r="AE219" s="775"/>
      <c r="AG219" s="775">
        <f t="shared" si="756"/>
        <v>0</v>
      </c>
      <c r="AI219" s="775"/>
      <c r="AK219" s="970">
        <v>0</v>
      </c>
      <c r="AM219" s="775"/>
      <c r="AO219" s="775">
        <f t="shared" si="757"/>
        <v>0</v>
      </c>
      <c r="AQ219" s="775"/>
      <c r="AS219" s="775"/>
      <c r="AU219" s="775">
        <f t="shared" si="758"/>
        <v>0</v>
      </c>
      <c r="AW219" s="775"/>
      <c r="AY219" s="775"/>
      <c r="BA219" s="775">
        <f t="shared" si="759"/>
        <v>0</v>
      </c>
      <c r="BC219" s="775"/>
      <c r="BE219" s="775"/>
      <c r="BG219" s="775">
        <f t="shared" si="760"/>
        <v>0</v>
      </c>
      <c r="BI219" s="775"/>
      <c r="BK219" s="775"/>
      <c r="BM219" s="775">
        <f t="shared" si="761"/>
        <v>0</v>
      </c>
      <c r="BO219" s="775"/>
      <c r="BQ219" s="970"/>
      <c r="BS219" s="775"/>
      <c r="BU219" s="775">
        <f t="shared" si="762"/>
        <v>0</v>
      </c>
      <c r="BW219" s="775">
        <v>558401</v>
      </c>
      <c r="BZ219" s="970"/>
      <c r="CB219" s="775"/>
      <c r="CD219" s="970"/>
      <c r="CF219" s="775"/>
      <c r="CH219" s="775">
        <f t="shared" si="763"/>
        <v>558401</v>
      </c>
      <c r="CJ219" s="775"/>
      <c r="CL219" s="775"/>
      <c r="CN219" s="775">
        <f t="shared" si="764"/>
        <v>0</v>
      </c>
      <c r="CP219" s="775"/>
      <c r="CR219" s="775"/>
      <c r="CT219" s="775">
        <f t="shared" si="765"/>
        <v>0</v>
      </c>
      <c r="CV219" s="775"/>
      <c r="CX219" s="775"/>
      <c r="CZ219" s="775">
        <f t="shared" si="766"/>
        <v>0</v>
      </c>
      <c r="DB219" s="775">
        <v>1875000</v>
      </c>
      <c r="DD219" s="775"/>
      <c r="DF219" s="775">
        <f t="shared" si="767"/>
        <v>1875000</v>
      </c>
      <c r="DH219" s="775"/>
      <c r="DJ219" s="775"/>
      <c r="DL219" s="775">
        <f t="shared" si="768"/>
        <v>0</v>
      </c>
      <c r="DN219" s="775"/>
      <c r="DP219" s="775"/>
      <c r="DR219" s="775">
        <f t="shared" si="769"/>
        <v>0</v>
      </c>
      <c r="DT219" s="775">
        <v>5250000</v>
      </c>
      <c r="DV219" s="971">
        <v>0</v>
      </c>
      <c r="DX219" s="775"/>
      <c r="DZ219" s="775">
        <f t="shared" si="770"/>
        <v>5250000</v>
      </c>
      <c r="EB219" s="776">
        <v>4112750</v>
      </c>
      <c r="ED219" s="972">
        <v>0</v>
      </c>
      <c r="EF219" s="775"/>
      <c r="EH219" s="775">
        <f t="shared" si="771"/>
        <v>4112750</v>
      </c>
      <c r="EJ219" s="775">
        <v>201526103</v>
      </c>
      <c r="EL219" s="775"/>
      <c r="EN219" s="775">
        <f t="shared" si="772"/>
        <v>201526103</v>
      </c>
      <c r="EP219" s="775"/>
      <c r="ER219" s="775"/>
      <c r="ET219" s="775">
        <f t="shared" si="773"/>
        <v>0</v>
      </c>
      <c r="EV219" s="775">
        <v>135564251</v>
      </c>
      <c r="EX219" s="775"/>
      <c r="EZ219" s="775">
        <f t="shared" si="774"/>
        <v>135564251</v>
      </c>
      <c r="FB219" s="775"/>
      <c r="FD219" s="775"/>
      <c r="FF219" s="775"/>
      <c r="FH219" s="775"/>
      <c r="FJ219" s="775">
        <f t="shared" si="775"/>
        <v>0</v>
      </c>
      <c r="FL219" s="775"/>
      <c r="FN219" s="775"/>
      <c r="FP219" s="775">
        <f t="shared" si="776"/>
        <v>0</v>
      </c>
      <c r="FR219" s="775">
        <v>260883503</v>
      </c>
      <c r="FT219" s="775"/>
      <c r="FV219" s="775">
        <f t="shared" si="777"/>
        <v>260883503</v>
      </c>
      <c r="FX219" s="775"/>
      <c r="FZ219" s="775"/>
      <c r="GB219" s="775">
        <f t="shared" si="778"/>
        <v>0</v>
      </c>
      <c r="GD219" s="775">
        <v>8043653</v>
      </c>
      <c r="GF219" s="775"/>
      <c r="GH219" s="775">
        <v>8043653</v>
      </c>
      <c r="GK219" s="761">
        <f t="shared" si="779"/>
        <v>609770008</v>
      </c>
      <c r="GL219" s="973">
        <f t="shared" si="583"/>
        <v>609770.00800000003</v>
      </c>
      <c r="GM219" s="761">
        <f t="shared" si="780"/>
        <v>609770008</v>
      </c>
      <c r="GN219" s="973"/>
    </row>
    <row r="220" spans="1:198">
      <c r="A220" s="780" t="s">
        <v>40</v>
      </c>
      <c r="I220" s="771"/>
      <c r="J220" s="770">
        <v>189</v>
      </c>
      <c r="K220" s="775"/>
      <c r="M220" s="775"/>
      <c r="O220" s="775">
        <f t="shared" si="753"/>
        <v>0</v>
      </c>
      <c r="Q220" s="775"/>
      <c r="S220" s="775"/>
      <c r="U220" s="775">
        <f t="shared" si="754"/>
        <v>0</v>
      </c>
      <c r="W220" s="775"/>
      <c r="Y220" s="775"/>
      <c r="AA220" s="775">
        <f t="shared" si="755"/>
        <v>0</v>
      </c>
      <c r="AC220" s="775">
        <v>120738</v>
      </c>
      <c r="AE220" s="775">
        <v>-3698</v>
      </c>
      <c r="AG220" s="775">
        <f t="shared" si="756"/>
        <v>117040</v>
      </c>
      <c r="AI220" s="775"/>
      <c r="AK220" s="970">
        <v>0</v>
      </c>
      <c r="AM220" s="775"/>
      <c r="AO220" s="775">
        <f t="shared" si="757"/>
        <v>0</v>
      </c>
      <c r="AQ220" s="775"/>
      <c r="AS220" s="775"/>
      <c r="AU220" s="775">
        <f t="shared" si="758"/>
        <v>0</v>
      </c>
      <c r="AW220" s="775">
        <v>44934</v>
      </c>
      <c r="AY220" s="775"/>
      <c r="BA220" s="775">
        <f t="shared" si="759"/>
        <v>44934</v>
      </c>
      <c r="BC220" s="775"/>
      <c r="BE220" s="775"/>
      <c r="BG220" s="775">
        <f t="shared" si="760"/>
        <v>0</v>
      </c>
      <c r="BI220" s="775"/>
      <c r="BK220" s="775"/>
      <c r="BM220" s="775">
        <f t="shared" si="761"/>
        <v>0</v>
      </c>
      <c r="BO220" s="775"/>
      <c r="BQ220" s="970"/>
      <c r="BS220" s="775"/>
      <c r="BU220" s="775">
        <f t="shared" si="762"/>
        <v>0</v>
      </c>
      <c r="BW220" s="775"/>
      <c r="BZ220" s="970"/>
      <c r="CB220" s="775"/>
      <c r="CD220" s="970"/>
      <c r="CF220" s="775"/>
      <c r="CH220" s="775">
        <f t="shared" si="763"/>
        <v>0</v>
      </c>
      <c r="CJ220" s="775"/>
      <c r="CL220" s="775"/>
      <c r="CN220" s="775">
        <f t="shared" si="764"/>
        <v>0</v>
      </c>
      <c r="CP220" s="775"/>
      <c r="CR220" s="775"/>
      <c r="CT220" s="775">
        <f t="shared" si="765"/>
        <v>0</v>
      </c>
      <c r="CV220" s="775"/>
      <c r="CX220" s="775"/>
      <c r="CZ220" s="775">
        <f t="shared" si="766"/>
        <v>0</v>
      </c>
      <c r="DB220" s="775"/>
      <c r="DD220" s="775"/>
      <c r="DF220" s="775">
        <f t="shared" si="767"/>
        <v>0</v>
      </c>
      <c r="DH220" s="775"/>
      <c r="DJ220" s="775"/>
      <c r="DL220" s="775">
        <f t="shared" si="768"/>
        <v>0</v>
      </c>
      <c r="DN220" s="775"/>
      <c r="DP220" s="775"/>
      <c r="DR220" s="775">
        <f t="shared" si="769"/>
        <v>0</v>
      </c>
      <c r="DT220" s="775"/>
      <c r="DV220" s="971">
        <v>0</v>
      </c>
      <c r="DX220" s="775"/>
      <c r="DZ220" s="775">
        <f t="shared" si="770"/>
        <v>0</v>
      </c>
      <c r="EB220" s="775"/>
      <c r="ED220" s="972"/>
      <c r="EF220" s="775"/>
      <c r="EH220" s="775">
        <f t="shared" si="771"/>
        <v>0</v>
      </c>
      <c r="EJ220" s="775"/>
      <c r="EL220" s="775"/>
      <c r="EN220" s="775">
        <f t="shared" si="772"/>
        <v>0</v>
      </c>
      <c r="EP220" s="775"/>
      <c r="ER220" s="775"/>
      <c r="ET220" s="775">
        <f t="shared" si="773"/>
        <v>0</v>
      </c>
      <c r="EV220" s="775"/>
      <c r="EX220" s="775">
        <v>298978</v>
      </c>
      <c r="EZ220" s="775">
        <f t="shared" si="774"/>
        <v>298978</v>
      </c>
      <c r="FB220" s="775"/>
      <c r="FD220" s="775"/>
      <c r="FF220" s="775"/>
      <c r="FH220" s="775"/>
      <c r="FJ220" s="775">
        <f t="shared" si="775"/>
        <v>0</v>
      </c>
      <c r="FL220" s="775"/>
      <c r="FN220" s="775"/>
      <c r="FP220" s="775">
        <f t="shared" si="776"/>
        <v>0</v>
      </c>
      <c r="FR220" s="775"/>
      <c r="FT220" s="775"/>
      <c r="FV220" s="775">
        <f t="shared" si="777"/>
        <v>0</v>
      </c>
      <c r="FX220" s="775"/>
      <c r="FZ220" s="775"/>
      <c r="GB220" s="775">
        <f t="shared" si="778"/>
        <v>0</v>
      </c>
      <c r="GD220" s="775"/>
      <c r="GF220" s="775"/>
      <c r="GH220" s="775">
        <v>0</v>
      </c>
      <c r="GK220" s="761">
        <f t="shared" si="779"/>
        <v>460952</v>
      </c>
      <c r="GL220" s="973">
        <f t="shared" si="583"/>
        <v>460.952</v>
      </c>
      <c r="GM220" s="761">
        <f t="shared" si="780"/>
        <v>460952</v>
      </c>
      <c r="GN220" s="973"/>
    </row>
    <row r="221" spans="1:198">
      <c r="B221" s="758" t="s">
        <v>464</v>
      </c>
      <c r="J221" s="758">
        <v>190</v>
      </c>
      <c r="K221" s="777">
        <f>SUM(K217:K220)</f>
        <v>0</v>
      </c>
      <c r="M221" s="777">
        <f>SUM(M217:M220)</f>
        <v>0</v>
      </c>
      <c r="O221" s="777">
        <f>SUM(O217:O220)</f>
        <v>0</v>
      </c>
      <c r="Q221" s="777">
        <f>SUM(Q217:Q220)</f>
        <v>7153349</v>
      </c>
      <c r="S221" s="777">
        <f>SUM(S217:S220)</f>
        <v>6892</v>
      </c>
      <c r="U221" s="777">
        <f>SUM(U217:U220)</f>
        <v>7160241</v>
      </c>
      <c r="W221" s="777">
        <f>SUM(W217:W220)</f>
        <v>379281</v>
      </c>
      <c r="Y221" s="777">
        <f>SUM(Y217:Y220)</f>
        <v>0</v>
      </c>
      <c r="AA221" s="777">
        <f>SUM(AA217:AA220)</f>
        <v>379281</v>
      </c>
      <c r="AC221" s="777">
        <f>SUM(AC217:AC220)</f>
        <v>2313607</v>
      </c>
      <c r="AE221" s="777">
        <f>SUM(AE217:AE220)</f>
        <v>-3698</v>
      </c>
      <c r="AG221" s="777">
        <f>SUM(AG217:AG220)</f>
        <v>2309909</v>
      </c>
      <c r="AI221" s="777">
        <f>SUM(AI217:AI220)</f>
        <v>1916063</v>
      </c>
      <c r="AK221" s="974">
        <f>SUM(AK217:AK220)</f>
        <v>0</v>
      </c>
      <c r="AM221" s="777">
        <f>SUM(AM217:AM220)</f>
        <v>0</v>
      </c>
      <c r="AO221" s="777">
        <f>SUM(AO217:AO220)</f>
        <v>1916063</v>
      </c>
      <c r="AQ221" s="777">
        <f>SUM(AQ217:AQ220)</f>
        <v>0</v>
      </c>
      <c r="AS221" s="777">
        <f>SUM(AS217:AS220)</f>
        <v>0</v>
      </c>
      <c r="AU221" s="777">
        <f>SUM(AU217:AU220)</f>
        <v>0</v>
      </c>
      <c r="AW221" s="777">
        <f>SUM(AW217:AW220)</f>
        <v>72954897</v>
      </c>
      <c r="AY221" s="777">
        <f>SUM(AY217:AY220)</f>
        <v>0</v>
      </c>
      <c r="BA221" s="777">
        <f>SUM(BA217:BA220)</f>
        <v>72954897</v>
      </c>
      <c r="BC221" s="777">
        <f>SUM(BC217:BC220)</f>
        <v>3452462</v>
      </c>
      <c r="BE221" s="777">
        <f>SUM(BE217:BE220)</f>
        <v>0</v>
      </c>
      <c r="BG221" s="777">
        <f>SUM(BG217:BG220)</f>
        <v>3452462</v>
      </c>
      <c r="BI221" s="777">
        <f>SUM(BI217:BI220)</f>
        <v>0</v>
      </c>
      <c r="BK221" s="777">
        <f>SUM(BK217:BK220)</f>
        <v>0</v>
      </c>
      <c r="BM221" s="777">
        <f>SUM(BM217:BM220)</f>
        <v>0</v>
      </c>
      <c r="BO221" s="777">
        <f>SUM(BO217:BO220)</f>
        <v>1260</v>
      </c>
      <c r="BQ221" s="974">
        <f>SUM(BQ217:BQ220)</f>
        <v>0</v>
      </c>
      <c r="BS221" s="777">
        <f>SUM(BS217:BS220)</f>
        <v>0</v>
      </c>
      <c r="BU221" s="777">
        <f>SUM(BU217:BU220)</f>
        <v>1260</v>
      </c>
      <c r="BW221" s="777">
        <f>SUM(BW217:BW220)</f>
        <v>7723950</v>
      </c>
      <c r="BZ221" s="974">
        <f>SUM(BZ217:BZ220)</f>
        <v>0</v>
      </c>
      <c r="CB221" s="777">
        <f>SUM(CB217:CB220)</f>
        <v>0</v>
      </c>
      <c r="CD221" s="974">
        <f>SUM(CD217:CD220)</f>
        <v>0</v>
      </c>
      <c r="CF221" s="777">
        <f>SUM(CF217:CF220)</f>
        <v>0</v>
      </c>
      <c r="CH221" s="777">
        <f>SUM(CH217:CH220)</f>
        <v>7723950</v>
      </c>
      <c r="CJ221" s="777">
        <f>SUM(CJ217:CJ220)</f>
        <v>2437767</v>
      </c>
      <c r="CL221" s="777">
        <f>SUM(CL217:CL220)</f>
        <v>0</v>
      </c>
      <c r="CN221" s="777">
        <f>SUM(CN217:CN220)</f>
        <v>2437767</v>
      </c>
      <c r="CP221" s="777">
        <f>SUM(CP217:CP220)</f>
        <v>7973461</v>
      </c>
      <c r="CR221" s="777">
        <f>SUM(CR217:CR220)</f>
        <v>0</v>
      </c>
      <c r="CT221" s="777">
        <f>SUM(CT217:CT220)</f>
        <v>7973461</v>
      </c>
      <c r="CV221" s="777">
        <f>SUM(CV217:CV220)</f>
        <v>336569</v>
      </c>
      <c r="CX221" s="777">
        <f>SUM(CX217:CX220)</f>
        <v>-218907</v>
      </c>
      <c r="CZ221" s="777">
        <f>SUM(CZ217:CZ220)</f>
        <v>117662</v>
      </c>
      <c r="DB221" s="777">
        <f>SUM(DB217:DB220)</f>
        <v>397103000</v>
      </c>
      <c r="DD221" s="777">
        <f>SUM(DD217:DD220)</f>
        <v>0</v>
      </c>
      <c r="DF221" s="777">
        <f>SUM(DF217:DF220)</f>
        <v>397103000</v>
      </c>
      <c r="DH221" s="777">
        <f>SUM(DH217:DH220)</f>
        <v>93468</v>
      </c>
      <c r="DJ221" s="777">
        <f>SUM(DJ217:DJ220)</f>
        <v>0</v>
      </c>
      <c r="DL221" s="777">
        <f>SUM(DL217:DL220)</f>
        <v>93468</v>
      </c>
      <c r="DN221" s="777">
        <f>SUM(DN217:DN220)</f>
        <v>3112041</v>
      </c>
      <c r="DP221" s="777">
        <f>SUM(DP217:DP220)</f>
        <v>-2068756</v>
      </c>
      <c r="DR221" s="777">
        <f>SUM(DR217:DR220)</f>
        <v>1043285</v>
      </c>
      <c r="DT221" s="777">
        <f>SUM(DT217:DT220)</f>
        <v>9723631</v>
      </c>
      <c r="DV221" s="975">
        <f>SUM(DV217:DV220)</f>
        <v>0</v>
      </c>
      <c r="DX221" s="777">
        <f>SUM(DX217:DX220)</f>
        <v>0</v>
      </c>
      <c r="DZ221" s="777">
        <f>SUM(DZ217:DZ220)</f>
        <v>9723631</v>
      </c>
      <c r="EB221" s="777">
        <f>SUM(EB217:EB220)</f>
        <v>15607750</v>
      </c>
      <c r="ED221" s="976">
        <f>SUM(ED217:ED220)</f>
        <v>0</v>
      </c>
      <c r="EF221" s="777">
        <f>SUM(EF217:EF220)</f>
        <v>0</v>
      </c>
      <c r="EH221" s="777">
        <f>SUM(EH217:EH220)</f>
        <v>15607750</v>
      </c>
      <c r="EJ221" s="777">
        <f>SUM(EJ217:EJ220)</f>
        <v>330142276</v>
      </c>
      <c r="EL221" s="777">
        <f>SUM(EL217:EL220)</f>
        <v>0</v>
      </c>
      <c r="EN221" s="777">
        <f>SUM(EN217:EN220)</f>
        <v>330142276</v>
      </c>
      <c r="EP221" s="777">
        <f>SUM(EP217:EP220)</f>
        <v>609866246</v>
      </c>
      <c r="ER221" s="777">
        <f>SUM(ER217:ER220)</f>
        <v>0</v>
      </c>
      <c r="ET221" s="777">
        <f>SUM(ET217:ET220)</f>
        <v>609866246</v>
      </c>
      <c r="EV221" s="777">
        <f>SUM(EV217:EV220)</f>
        <v>1026417256</v>
      </c>
      <c r="EX221" s="777">
        <f>SUM(EX217:EX220)</f>
        <v>298978</v>
      </c>
      <c r="EZ221" s="777">
        <f>SUM(EZ217:EZ220)</f>
        <v>1026716234</v>
      </c>
      <c r="FB221" s="777">
        <f>SUM(FB217:FB220)</f>
        <v>0</v>
      </c>
      <c r="FD221" s="777">
        <f>SUM(FD217:FD220)</f>
        <v>0</v>
      </c>
      <c r="FF221" s="777">
        <f>SUM(FF217:FF220)</f>
        <v>139468714</v>
      </c>
      <c r="FH221" s="777">
        <f>SUM(FH217:FH220)</f>
        <v>0</v>
      </c>
      <c r="FJ221" s="777">
        <f>SUM(FJ217:FJ220)</f>
        <v>139468714</v>
      </c>
      <c r="FL221" s="777">
        <f>SUM(FL217:FL220)</f>
        <v>11528839</v>
      </c>
      <c r="FN221" s="777">
        <f>SUM(FN217:FN220)</f>
        <v>0</v>
      </c>
      <c r="FP221" s="777">
        <f>SUM(FP217:FP220)</f>
        <v>11528839</v>
      </c>
      <c r="FR221" s="777">
        <f>SUM(FR217:FR220)</f>
        <v>346258862</v>
      </c>
      <c r="FT221" s="777">
        <f>SUM(FT217:FT220)</f>
        <v>0</v>
      </c>
      <c r="FV221" s="777">
        <f>SUM(FV217:FV220)</f>
        <v>346258862</v>
      </c>
      <c r="FX221" s="777">
        <f>SUM(FX217:FX220)</f>
        <v>27390530</v>
      </c>
      <c r="FZ221" s="777">
        <f>SUM(FZ217:FZ220)</f>
        <v>-3547031</v>
      </c>
      <c r="GB221" s="777">
        <f>SUM(GB217:GB220)</f>
        <v>23843499</v>
      </c>
      <c r="GD221" s="777">
        <v>61659003</v>
      </c>
      <c r="GF221" s="777">
        <v>0</v>
      </c>
      <c r="GH221" s="777">
        <v>61659003</v>
      </c>
      <c r="GK221" s="761">
        <f>O221+U221+AA221+AG221+AO221+AU221+BA221+BG221+BM221+BU221+CH221+CN221+CT221+CZ221+DF221+DL221+DR221+DZ221+EH221+EN221+ET221+EZ221+FJ221+FP221+FV221+GB221</f>
        <v>3017822757</v>
      </c>
      <c r="GL221" s="973">
        <f t="shared" si="583"/>
        <v>3017822.7570000002</v>
      </c>
      <c r="GM221" s="761">
        <f t="shared" si="780"/>
        <v>2992724843</v>
      </c>
      <c r="GN221" s="973"/>
    </row>
    <row r="222" spans="1:198">
      <c r="J222" s="770">
        <v>191</v>
      </c>
      <c r="BQ222" s="952"/>
      <c r="BW222" s="761"/>
      <c r="BZ222" s="952"/>
      <c r="CB222" s="761"/>
      <c r="CD222" s="952"/>
      <c r="CP222" s="761"/>
      <c r="CV222" s="761"/>
      <c r="DB222" s="761"/>
      <c r="DH222" s="761"/>
      <c r="DN222" s="761"/>
      <c r="DT222" s="761"/>
      <c r="DV222" s="977"/>
      <c r="EB222" s="761"/>
      <c r="ED222" s="978"/>
      <c r="EJ222" s="761"/>
      <c r="EP222" s="761"/>
      <c r="EV222" s="761"/>
      <c r="FB222" s="761"/>
      <c r="FD222" s="761"/>
      <c r="GL222" s="973">
        <f t="shared" si="583"/>
        <v>0</v>
      </c>
      <c r="GN222" s="973"/>
    </row>
    <row r="223" spans="1:198">
      <c r="A223" s="763" t="s">
        <v>627</v>
      </c>
      <c r="I223" s="771"/>
      <c r="J223" s="758">
        <v>192</v>
      </c>
      <c r="BQ223" s="952"/>
      <c r="BW223" s="761"/>
      <c r="BZ223" s="952"/>
      <c r="CB223" s="761"/>
      <c r="CD223" s="952"/>
      <c r="CP223" s="761"/>
      <c r="CV223" s="761"/>
      <c r="DB223" s="761"/>
      <c r="DH223" s="761"/>
      <c r="DN223" s="761"/>
      <c r="DT223" s="761"/>
      <c r="DV223" s="977"/>
      <c r="EB223" s="761"/>
      <c r="ED223" s="978"/>
      <c r="EJ223" s="761"/>
      <c r="EP223" s="761"/>
      <c r="EV223" s="761"/>
      <c r="FB223" s="761"/>
      <c r="FD223" s="761"/>
      <c r="GL223" s="973">
        <f t="shared" si="583"/>
        <v>0</v>
      </c>
      <c r="GN223" s="973"/>
    </row>
    <row r="224" spans="1:198">
      <c r="A224" s="766" t="s">
        <v>463</v>
      </c>
      <c r="J224" s="770">
        <v>193</v>
      </c>
      <c r="K224" s="775">
        <v>368862</v>
      </c>
      <c r="M224" s="775"/>
      <c r="O224" s="775">
        <f t="shared" ref="O224:O226" si="781">K224+M224</f>
        <v>368862</v>
      </c>
      <c r="Q224" s="775">
        <v>12129645</v>
      </c>
      <c r="S224" s="775">
        <f>359744+109000+6892</f>
        <v>475636</v>
      </c>
      <c r="U224" s="775">
        <f t="shared" ref="U224:U226" si="782">Q224+S224</f>
        <v>12605281</v>
      </c>
      <c r="W224" s="775">
        <v>12789787</v>
      </c>
      <c r="Y224" s="775">
        <v>-8018</v>
      </c>
      <c r="AA224" s="775">
        <f t="shared" ref="AA224:AA226" si="783">W224+Y224</f>
        <v>12781769</v>
      </c>
      <c r="AC224" s="775">
        <v>11817773</v>
      </c>
      <c r="AE224" s="775">
        <v>2531</v>
      </c>
      <c r="AG224" s="775">
        <f t="shared" ref="AG224:AG226" si="784">AC224+AE224</f>
        <v>11820304</v>
      </c>
      <c r="AI224" s="775">
        <v>51339782</v>
      </c>
      <c r="AK224" s="970">
        <v>0</v>
      </c>
      <c r="AM224" s="775"/>
      <c r="AO224" s="775">
        <f t="shared" ref="AO224:AO226" si="785">AI224+AM224</f>
        <v>51339782</v>
      </c>
      <c r="AQ224" s="775"/>
      <c r="AS224" s="775"/>
      <c r="AU224" s="775">
        <f t="shared" ref="AU224:AU226" si="786">AQ224+AS224</f>
        <v>0</v>
      </c>
      <c r="AW224" s="775">
        <v>20017066</v>
      </c>
      <c r="AY224" s="775">
        <v>-439775</v>
      </c>
      <c r="BA224" s="775">
        <f t="shared" ref="BA224:BA226" si="787">AW224+AY224</f>
        <v>19577291</v>
      </c>
      <c r="BC224" s="776">
        <v>49241483</v>
      </c>
      <c r="BE224" s="775"/>
      <c r="BG224" s="775">
        <f t="shared" ref="BG224:BG226" si="788">BC224+BE224</f>
        <v>49241483</v>
      </c>
      <c r="BI224" s="775">
        <v>17973329</v>
      </c>
      <c r="BK224" s="775">
        <v>648773</v>
      </c>
      <c r="BM224" s="775">
        <f t="shared" ref="BM224:BM226" si="789">BI224+BK224</f>
        <v>18622102</v>
      </c>
      <c r="BO224" s="775">
        <v>551664</v>
      </c>
      <c r="BQ224" s="970"/>
      <c r="BS224" s="775"/>
      <c r="BU224" s="775">
        <f t="shared" ref="BU224:BU226" si="790">BO224+BS224</f>
        <v>551664</v>
      </c>
      <c r="BW224" s="775">
        <v>14784617</v>
      </c>
      <c r="BZ224" s="970"/>
      <c r="CB224" s="775"/>
      <c r="CD224" s="970"/>
      <c r="CF224" s="775"/>
      <c r="CH224" s="775">
        <f t="shared" ref="CH224:CH226" si="791">BW224+CF224</f>
        <v>14784617</v>
      </c>
      <c r="CJ224" s="775">
        <v>1953886</v>
      </c>
      <c r="CL224" s="775"/>
      <c r="CN224" s="775">
        <f t="shared" ref="CN224:CN226" si="792">CJ224+CL224</f>
        <v>1953886</v>
      </c>
      <c r="CP224" s="775">
        <v>9481946</v>
      </c>
      <c r="CR224" s="775">
        <v>-22039</v>
      </c>
      <c r="CT224" s="775">
        <f t="shared" ref="CT224:CT226" si="793">CP224+CR224</f>
        <v>9459907</v>
      </c>
      <c r="CV224" s="775">
        <v>3443660</v>
      </c>
      <c r="CX224" s="775"/>
      <c r="CZ224" s="775">
        <f t="shared" ref="CZ224:CZ226" si="794">CV224+CX224</f>
        <v>3443660</v>
      </c>
      <c r="DB224" s="775">
        <v>287648000</v>
      </c>
      <c r="DD224" s="775"/>
      <c r="DF224" s="775">
        <f t="shared" ref="DF224:DF226" si="795">DB224+DD224</f>
        <v>287648000</v>
      </c>
      <c r="DH224" s="776">
        <v>1588548</v>
      </c>
      <c r="DJ224" s="775"/>
      <c r="DL224" s="775">
        <f t="shared" ref="DL224:DL226" si="796">DH224+DJ224</f>
        <v>1588548</v>
      </c>
      <c r="DN224" s="776">
        <v>4802238</v>
      </c>
      <c r="DP224" s="775"/>
      <c r="DR224" s="775">
        <f t="shared" ref="DR224:DR226" si="797">DN224+DP224</f>
        <v>4802238</v>
      </c>
      <c r="DT224" s="775">
        <v>3879006</v>
      </c>
      <c r="DV224" s="971"/>
      <c r="DX224" s="775"/>
      <c r="DZ224" s="775">
        <f t="shared" ref="DZ224:DZ226" si="798">DT224+DX224</f>
        <v>3879006</v>
      </c>
      <c r="EB224" s="775">
        <v>41716619</v>
      </c>
      <c r="ED224" s="972"/>
      <c r="EF224" s="775"/>
      <c r="EH224" s="775">
        <f t="shared" ref="EH224:EH226" si="799">EB224+EF224</f>
        <v>41716619</v>
      </c>
      <c r="EJ224" s="776">
        <v>117881838</v>
      </c>
      <c r="EL224" s="775"/>
      <c r="EN224" s="775">
        <f t="shared" ref="EN224:EN226" si="800">EJ224+EL224</f>
        <v>117881838</v>
      </c>
      <c r="EP224" s="775">
        <v>590456146</v>
      </c>
      <c r="ER224" s="775"/>
      <c r="ET224" s="775">
        <f t="shared" ref="ET224:ET226" si="801">EP224+ER224</f>
        <v>590456146</v>
      </c>
      <c r="EV224" s="775">
        <v>892034079</v>
      </c>
      <c r="EX224" s="775"/>
      <c r="EZ224" s="775">
        <f t="shared" ref="EZ224:EZ226" si="802">EV224+EX224</f>
        <v>892034079</v>
      </c>
      <c r="FB224" s="775"/>
      <c r="FD224" s="775"/>
      <c r="FF224" s="775">
        <v>137211708</v>
      </c>
      <c r="FH224" s="775"/>
      <c r="FJ224" s="775">
        <f t="shared" ref="FJ224:FJ226" si="803">FF224+FH224</f>
        <v>137211708</v>
      </c>
      <c r="FL224" s="775">
        <v>68770566</v>
      </c>
      <c r="FN224" s="775">
        <v>107644</v>
      </c>
      <c r="FP224" s="775">
        <f t="shared" ref="FP224:FP226" si="804">FL224+FN224</f>
        <v>68878210</v>
      </c>
      <c r="FR224" s="775">
        <v>160021525</v>
      </c>
      <c r="FT224" s="775">
        <v>18000</v>
      </c>
      <c r="FV224" s="775">
        <f t="shared" ref="FV224:FV226" si="805">FR224+FT224</f>
        <v>160039525</v>
      </c>
      <c r="FX224" s="775">
        <v>35373686</v>
      </c>
      <c r="FZ224" s="775"/>
      <c r="GB224" s="775">
        <f t="shared" ref="GB224:GB226" si="806">FX224+FZ224</f>
        <v>35373686</v>
      </c>
      <c r="GD224" s="775">
        <v>849482646</v>
      </c>
      <c r="GF224" s="775"/>
      <c r="GH224" s="775">
        <v>849482646</v>
      </c>
      <c r="GK224" s="761">
        <f t="shared" ref="GK224:GK227" si="807">O224+U224+AA224+AG224+AO224+AU224+BA224+BG224+BM224+BU224+CH224+CN224+CT224+CZ224+DF224+DL224+DR224+DZ224+EH224+EN224+ET224+EZ224+FJ224+FP224+FV224+GB224</f>
        <v>2548060211</v>
      </c>
      <c r="GL224" s="973">
        <f t="shared" si="583"/>
        <v>2548060.2110000001</v>
      </c>
      <c r="GM224" s="761">
        <f t="shared" ref="GM224:GM227" si="808">O224+U224+AA224+AG224+AO224+BA224+BG224+BM224+BU224+CH224+CN224+CT224+DF224+DZ224+EH224+EN224+ET224+EZ224+FJ224+FP224+FV224</f>
        <v>2502852079</v>
      </c>
      <c r="GN224" s="973"/>
      <c r="GO224" s="973"/>
    </row>
    <row r="225" spans="1:196">
      <c r="A225" s="766" t="s">
        <v>423</v>
      </c>
      <c r="J225" s="758">
        <v>194</v>
      </c>
      <c r="K225" s="775"/>
      <c r="M225" s="775"/>
      <c r="O225" s="775">
        <f t="shared" si="781"/>
        <v>0</v>
      </c>
      <c r="Q225" s="775">
        <v>3564650</v>
      </c>
      <c r="S225" s="775"/>
      <c r="U225" s="775">
        <f t="shared" si="782"/>
        <v>3564650</v>
      </c>
      <c r="W225" s="775"/>
      <c r="Y225" s="775"/>
      <c r="AA225" s="775">
        <f t="shared" si="783"/>
        <v>0</v>
      </c>
      <c r="AC225" s="776"/>
      <c r="AE225" s="775"/>
      <c r="AG225" s="775">
        <f t="shared" si="784"/>
        <v>0</v>
      </c>
      <c r="AI225" s="775"/>
      <c r="AK225" s="970">
        <v>0</v>
      </c>
      <c r="AM225" s="775"/>
      <c r="AO225" s="775">
        <f t="shared" si="785"/>
        <v>0</v>
      </c>
      <c r="AQ225" s="775"/>
      <c r="AS225" s="775"/>
      <c r="AU225" s="775">
        <f t="shared" si="786"/>
        <v>0</v>
      </c>
      <c r="AW225" s="775"/>
      <c r="AY225" s="775"/>
      <c r="BA225" s="775">
        <f t="shared" si="787"/>
        <v>0</v>
      </c>
      <c r="BC225" s="776"/>
      <c r="BE225" s="775"/>
      <c r="BG225" s="775">
        <f t="shared" si="788"/>
        <v>0</v>
      </c>
      <c r="BI225" s="775"/>
      <c r="BK225" s="775"/>
      <c r="BM225" s="775">
        <f t="shared" si="789"/>
        <v>0</v>
      </c>
      <c r="BO225" s="775"/>
      <c r="BQ225" s="970"/>
      <c r="BS225" s="775"/>
      <c r="BU225" s="775">
        <f t="shared" si="790"/>
        <v>0</v>
      </c>
      <c r="BW225" s="775"/>
      <c r="BZ225" s="970"/>
      <c r="CB225" s="775"/>
      <c r="CD225" s="970"/>
      <c r="CF225" s="775"/>
      <c r="CH225" s="775">
        <f t="shared" si="791"/>
        <v>0</v>
      </c>
      <c r="CJ225" s="775"/>
      <c r="CL225" s="775"/>
      <c r="CN225" s="775">
        <f t="shared" si="792"/>
        <v>0</v>
      </c>
      <c r="CP225" s="775"/>
      <c r="CR225" s="775"/>
      <c r="CT225" s="775">
        <f t="shared" si="793"/>
        <v>0</v>
      </c>
      <c r="CV225" s="775"/>
      <c r="CX225" s="775"/>
      <c r="CZ225" s="775">
        <f t="shared" si="794"/>
        <v>0</v>
      </c>
      <c r="DB225" s="775"/>
      <c r="DD225" s="775"/>
      <c r="DF225" s="775">
        <f t="shared" si="795"/>
        <v>0</v>
      </c>
      <c r="DH225" s="776"/>
      <c r="DJ225" s="775"/>
      <c r="DL225" s="775">
        <f t="shared" si="796"/>
        <v>0</v>
      </c>
      <c r="DN225" s="775"/>
      <c r="DP225" s="775"/>
      <c r="DR225" s="775">
        <f t="shared" si="797"/>
        <v>0</v>
      </c>
      <c r="DT225" s="775"/>
      <c r="DV225" s="971">
        <v>0</v>
      </c>
      <c r="DX225" s="775"/>
      <c r="DZ225" s="775">
        <f t="shared" si="798"/>
        <v>0</v>
      </c>
      <c r="EB225" s="775"/>
      <c r="ED225" s="972">
        <v>0</v>
      </c>
      <c r="EF225" s="775"/>
      <c r="EH225" s="775">
        <f t="shared" si="799"/>
        <v>0</v>
      </c>
      <c r="EJ225" s="775"/>
      <c r="EL225" s="775"/>
      <c r="EN225" s="775">
        <f t="shared" si="800"/>
        <v>0</v>
      </c>
      <c r="EP225" s="775"/>
      <c r="ER225" s="775"/>
      <c r="ET225" s="775">
        <f t="shared" si="801"/>
        <v>0</v>
      </c>
      <c r="EV225" s="776">
        <v>276813</v>
      </c>
      <c r="EX225" s="775"/>
      <c r="EZ225" s="775">
        <f t="shared" si="802"/>
        <v>276813</v>
      </c>
      <c r="FB225" s="775"/>
      <c r="FD225" s="775"/>
      <c r="FF225" s="775"/>
      <c r="FH225" s="775"/>
      <c r="FJ225" s="775">
        <f t="shared" si="803"/>
        <v>0</v>
      </c>
      <c r="FL225" s="775"/>
      <c r="FN225" s="775"/>
      <c r="FP225" s="775">
        <f t="shared" si="804"/>
        <v>0</v>
      </c>
      <c r="FR225" s="775"/>
      <c r="FT225" s="775"/>
      <c r="FV225" s="775">
        <f t="shared" si="805"/>
        <v>0</v>
      </c>
      <c r="FX225" s="775"/>
      <c r="FZ225" s="775"/>
      <c r="GB225" s="775">
        <f t="shared" si="806"/>
        <v>0</v>
      </c>
      <c r="GD225" s="775"/>
      <c r="GF225" s="775"/>
      <c r="GH225" s="775">
        <v>0</v>
      </c>
      <c r="GK225" s="761">
        <f t="shared" si="807"/>
        <v>3841463</v>
      </c>
      <c r="GL225" s="973">
        <f t="shared" si="583"/>
        <v>3841.4630000000002</v>
      </c>
      <c r="GM225" s="761">
        <f t="shared" si="808"/>
        <v>3841463</v>
      </c>
      <c r="GN225" s="973"/>
    </row>
    <row r="226" spans="1:196">
      <c r="A226" s="780" t="s">
        <v>39</v>
      </c>
      <c r="I226" s="771"/>
      <c r="J226" s="770">
        <v>195</v>
      </c>
      <c r="K226" s="775"/>
      <c r="M226" s="775"/>
      <c r="O226" s="775">
        <f t="shared" si="781"/>
        <v>0</v>
      </c>
      <c r="Q226" s="775"/>
      <c r="S226" s="775"/>
      <c r="U226" s="775">
        <f t="shared" si="782"/>
        <v>0</v>
      </c>
      <c r="W226" s="775">
        <v>87598</v>
      </c>
      <c r="Y226" s="775"/>
      <c r="AA226" s="775">
        <f t="shared" si="783"/>
        <v>87598</v>
      </c>
      <c r="AC226" s="776">
        <v>117040</v>
      </c>
      <c r="AE226" s="775"/>
      <c r="AG226" s="775">
        <f t="shared" si="784"/>
        <v>117040</v>
      </c>
      <c r="AI226" s="775"/>
      <c r="AK226" s="970">
        <v>0</v>
      </c>
      <c r="AM226" s="775"/>
      <c r="AO226" s="775">
        <f t="shared" si="785"/>
        <v>0</v>
      </c>
      <c r="AQ226" s="775"/>
      <c r="AS226" s="775"/>
      <c r="AU226" s="775">
        <f t="shared" si="786"/>
        <v>0</v>
      </c>
      <c r="AW226" s="775">
        <v>44934</v>
      </c>
      <c r="AY226" s="775"/>
      <c r="BA226" s="775">
        <f t="shared" si="787"/>
        <v>44934</v>
      </c>
      <c r="BC226" s="775"/>
      <c r="BE226" s="775"/>
      <c r="BG226" s="775">
        <f t="shared" si="788"/>
        <v>0</v>
      </c>
      <c r="BI226" s="775">
        <v>30702</v>
      </c>
      <c r="BK226" s="775"/>
      <c r="BM226" s="775">
        <f t="shared" si="789"/>
        <v>30702</v>
      </c>
      <c r="BO226" s="775"/>
      <c r="BQ226" s="970"/>
      <c r="BS226" s="775"/>
      <c r="BU226" s="775">
        <f t="shared" si="790"/>
        <v>0</v>
      </c>
      <c r="BW226" s="775"/>
      <c r="BZ226" s="970"/>
      <c r="CB226" s="775"/>
      <c r="CD226" s="970"/>
      <c r="CF226" s="775"/>
      <c r="CH226" s="775">
        <f t="shared" si="791"/>
        <v>0</v>
      </c>
      <c r="CJ226" s="775"/>
      <c r="CL226" s="775"/>
      <c r="CN226" s="775">
        <f t="shared" si="792"/>
        <v>0</v>
      </c>
      <c r="CP226" s="775"/>
      <c r="CR226" s="775"/>
      <c r="CT226" s="775">
        <f t="shared" si="793"/>
        <v>0</v>
      </c>
      <c r="CV226" s="775"/>
      <c r="CX226" s="775"/>
      <c r="CZ226" s="775">
        <f t="shared" si="794"/>
        <v>0</v>
      </c>
      <c r="DB226" s="775"/>
      <c r="DD226" s="775"/>
      <c r="DF226" s="775">
        <f t="shared" si="795"/>
        <v>0</v>
      </c>
      <c r="DH226" s="775"/>
      <c r="DJ226" s="775"/>
      <c r="DL226" s="775">
        <f t="shared" si="796"/>
        <v>0</v>
      </c>
      <c r="DN226" s="775"/>
      <c r="DP226" s="775"/>
      <c r="DR226" s="775">
        <f t="shared" si="797"/>
        <v>0</v>
      </c>
      <c r="DT226" s="775"/>
      <c r="DV226" s="971">
        <v>0</v>
      </c>
      <c r="DX226" s="775"/>
      <c r="DZ226" s="775">
        <f t="shared" si="798"/>
        <v>0</v>
      </c>
      <c r="EB226" s="775"/>
      <c r="ED226" s="972">
        <v>0</v>
      </c>
      <c r="EF226" s="775"/>
      <c r="EH226" s="775">
        <f t="shared" si="799"/>
        <v>0</v>
      </c>
      <c r="EJ226" s="775"/>
      <c r="EL226" s="775"/>
      <c r="EN226" s="775">
        <f t="shared" si="800"/>
        <v>0</v>
      </c>
      <c r="EP226" s="775"/>
      <c r="ER226" s="775"/>
      <c r="ET226" s="775">
        <f t="shared" si="801"/>
        <v>0</v>
      </c>
      <c r="EV226" s="775"/>
      <c r="EX226" s="775">
        <v>298978</v>
      </c>
      <c r="EZ226" s="775">
        <f t="shared" si="802"/>
        <v>298978</v>
      </c>
      <c r="FB226" s="775"/>
      <c r="FD226" s="775"/>
      <c r="FF226" s="775"/>
      <c r="FH226" s="775"/>
      <c r="FJ226" s="775">
        <f t="shared" si="803"/>
        <v>0</v>
      </c>
      <c r="FL226" s="775"/>
      <c r="FN226" s="775"/>
      <c r="FP226" s="775">
        <f t="shared" si="804"/>
        <v>0</v>
      </c>
      <c r="FR226" s="775"/>
      <c r="FT226" s="775"/>
      <c r="FV226" s="775">
        <f t="shared" si="805"/>
        <v>0</v>
      </c>
      <c r="FX226" s="775"/>
      <c r="FZ226" s="775"/>
      <c r="GB226" s="775">
        <f t="shared" si="806"/>
        <v>0</v>
      </c>
      <c r="GD226" s="775"/>
      <c r="GF226" s="775"/>
      <c r="GH226" s="775">
        <v>0</v>
      </c>
      <c r="GK226" s="761">
        <f t="shared" si="807"/>
        <v>579252</v>
      </c>
      <c r="GL226" s="973">
        <f t="shared" si="583"/>
        <v>579.25199999999995</v>
      </c>
      <c r="GM226" s="761">
        <f t="shared" si="808"/>
        <v>579252</v>
      </c>
      <c r="GN226" s="973"/>
    </row>
    <row r="227" spans="1:196">
      <c r="B227" s="758" t="s">
        <v>611</v>
      </c>
      <c r="J227" s="758">
        <v>196</v>
      </c>
      <c r="K227" s="777">
        <f>SUM(K224:K226)</f>
        <v>368862</v>
      </c>
      <c r="M227" s="777">
        <f>SUM(M224:M226)</f>
        <v>0</v>
      </c>
      <c r="O227" s="777">
        <f>SUM(O224:O226)</f>
        <v>368862</v>
      </c>
      <c r="Q227" s="777">
        <f>SUM(Q224:Q226)</f>
        <v>15694295</v>
      </c>
      <c r="S227" s="777">
        <f>SUM(S224:S226)</f>
        <v>475636</v>
      </c>
      <c r="U227" s="777">
        <f>SUM(U224:U226)</f>
        <v>16169931</v>
      </c>
      <c r="W227" s="777">
        <f>SUM(W224:W226)</f>
        <v>12877385</v>
      </c>
      <c r="Y227" s="777">
        <f>SUM(Y224:Y226)</f>
        <v>-8018</v>
      </c>
      <c r="AA227" s="777">
        <f>SUM(AA224:AA226)</f>
        <v>12869367</v>
      </c>
      <c r="AC227" s="777">
        <f>SUM(AC224:AC226)</f>
        <v>11934813</v>
      </c>
      <c r="AE227" s="777">
        <f>SUM(AE224:AE226)</f>
        <v>2531</v>
      </c>
      <c r="AG227" s="777">
        <f>SUM(AG224:AG226)</f>
        <v>11937344</v>
      </c>
      <c r="AI227" s="777">
        <f>SUM(AI224:AI226)</f>
        <v>51339782</v>
      </c>
      <c r="AK227" s="974">
        <f>SUM(AK224:AK226)</f>
        <v>0</v>
      </c>
      <c r="AM227" s="777">
        <f>SUM(AM224:AM226)</f>
        <v>0</v>
      </c>
      <c r="AO227" s="777">
        <f>SUM(AO224:AO226)</f>
        <v>51339782</v>
      </c>
      <c r="AQ227" s="777">
        <f>SUM(AQ224:AQ226)</f>
        <v>0</v>
      </c>
      <c r="AS227" s="777">
        <f>SUM(AS224:AS226)</f>
        <v>0</v>
      </c>
      <c r="AU227" s="777">
        <f>SUM(AU224:AU226)</f>
        <v>0</v>
      </c>
      <c r="AW227" s="777">
        <f>SUM(AW224:AW226)</f>
        <v>20062000</v>
      </c>
      <c r="AY227" s="777">
        <f>SUM(AY224:AY226)</f>
        <v>-439775</v>
      </c>
      <c r="BA227" s="777">
        <f>SUM(BA224:BA226)</f>
        <v>19622225</v>
      </c>
      <c r="BC227" s="777">
        <f>SUM(BC224:BC226)</f>
        <v>49241483</v>
      </c>
      <c r="BE227" s="777">
        <f>SUM(BE224:BE226)</f>
        <v>0</v>
      </c>
      <c r="BG227" s="777">
        <f>SUM(BG224:BG226)</f>
        <v>49241483</v>
      </c>
      <c r="BI227" s="777">
        <f t="shared" ref="BI227:BN227" si="809">SUM(BI224:BI226)</f>
        <v>18004031</v>
      </c>
      <c r="BK227" s="777">
        <f>SUM(BK224:BK226)</f>
        <v>648773</v>
      </c>
      <c r="BM227" s="777">
        <f>SUM(BM224:BM226)</f>
        <v>18652804</v>
      </c>
      <c r="BN227" s="777">
        <f t="shared" si="809"/>
        <v>0</v>
      </c>
      <c r="BO227" s="777">
        <f>SUM(BO224:BO226)</f>
        <v>551664</v>
      </c>
      <c r="BQ227" s="974">
        <f>SUM(BQ224:BQ226)</f>
        <v>0</v>
      </c>
      <c r="BS227" s="777">
        <f>SUM(BS224:BS226)</f>
        <v>0</v>
      </c>
      <c r="BU227" s="777">
        <f>SUM(BU224:BU226)</f>
        <v>551664</v>
      </c>
      <c r="BW227" s="777">
        <f>SUM(BW224:BW226)</f>
        <v>14784617</v>
      </c>
      <c r="BZ227" s="974">
        <f>SUM(BZ224:BZ226)</f>
        <v>0</v>
      </c>
      <c r="CB227" s="777">
        <f>SUM(CB224:CB226)</f>
        <v>0</v>
      </c>
      <c r="CD227" s="974">
        <f>SUM(CD224:CD226)</f>
        <v>0</v>
      </c>
      <c r="CF227" s="777">
        <f>SUM(CF224:CF226)</f>
        <v>0</v>
      </c>
      <c r="CH227" s="777">
        <f>SUM(CH224:CH226)</f>
        <v>14784617</v>
      </c>
      <c r="CJ227" s="777">
        <f>SUM(CJ224:CJ226)</f>
        <v>1953886</v>
      </c>
      <c r="CL227" s="777">
        <f>SUM(CL224:CL226)</f>
        <v>0</v>
      </c>
      <c r="CN227" s="777">
        <f>SUM(CN224:CN226)</f>
        <v>1953886</v>
      </c>
      <c r="CP227" s="777">
        <f>SUM(CP224:CP226)</f>
        <v>9481946</v>
      </c>
      <c r="CR227" s="777">
        <f>SUM(CR224:CR226)</f>
        <v>-22039</v>
      </c>
      <c r="CT227" s="777">
        <f>SUM(CT224:CT226)</f>
        <v>9459907</v>
      </c>
      <c r="CV227" s="777">
        <f>SUM(CV224:CV226)</f>
        <v>3443660</v>
      </c>
      <c r="CX227" s="777">
        <f>SUM(CX224:CX226)</f>
        <v>0</v>
      </c>
      <c r="CZ227" s="777">
        <f>SUM(CZ224:CZ226)</f>
        <v>3443660</v>
      </c>
      <c r="DB227" s="777">
        <f>SUM(DB224:DB226)</f>
        <v>287648000</v>
      </c>
      <c r="DD227" s="777">
        <f>SUM(DD224:DD226)</f>
        <v>0</v>
      </c>
      <c r="DF227" s="777">
        <f>SUM(DF224:DF226)</f>
        <v>287648000</v>
      </c>
      <c r="DH227" s="777">
        <f>SUM(DH224:DH226)</f>
        <v>1588548</v>
      </c>
      <c r="DJ227" s="777">
        <f>SUM(DJ224:DJ226)</f>
        <v>0</v>
      </c>
      <c r="DL227" s="777">
        <f>SUM(DL224:DL226)</f>
        <v>1588548</v>
      </c>
      <c r="DN227" s="777">
        <f>SUM(DN224:DN226)</f>
        <v>4802238</v>
      </c>
      <c r="DP227" s="777">
        <f>SUM(DP224:DP226)</f>
        <v>0</v>
      </c>
      <c r="DR227" s="777">
        <f>SUM(DR224:DR226)</f>
        <v>4802238</v>
      </c>
      <c r="DT227" s="777">
        <f>SUM(DT224:DT226)</f>
        <v>3879006</v>
      </c>
      <c r="DV227" s="975">
        <f>SUM(DV224:DV226)</f>
        <v>0</v>
      </c>
      <c r="DX227" s="777">
        <f>SUM(DX224:DX226)</f>
        <v>0</v>
      </c>
      <c r="DZ227" s="777">
        <f>SUM(DZ224:DZ226)</f>
        <v>3879006</v>
      </c>
      <c r="EB227" s="777">
        <f>SUM(EB224:EB226)</f>
        <v>41716619</v>
      </c>
      <c r="ED227" s="976">
        <f>SUM(ED224:ED226)</f>
        <v>0</v>
      </c>
      <c r="EF227" s="777">
        <f>SUM(EF224:EF226)</f>
        <v>0</v>
      </c>
      <c r="EH227" s="777">
        <f>SUM(EH224:EH226)</f>
        <v>41716619</v>
      </c>
      <c r="EJ227" s="777">
        <f>SUM(EJ224:EJ226)</f>
        <v>117881838</v>
      </c>
      <c r="EL227" s="777">
        <f>SUM(EL224:EL226)</f>
        <v>0</v>
      </c>
      <c r="EN227" s="777">
        <f>SUM(EN224:EN226)</f>
        <v>117881838</v>
      </c>
      <c r="EP227" s="777">
        <f>SUM(EP224:EP226)</f>
        <v>590456146</v>
      </c>
      <c r="ER227" s="777">
        <f>SUM(ER224:ER226)</f>
        <v>0</v>
      </c>
      <c r="ET227" s="777">
        <f>SUM(ET224:ET226)</f>
        <v>590456146</v>
      </c>
      <c r="EV227" s="777">
        <f>SUM(EV224:EV226)</f>
        <v>892310892</v>
      </c>
      <c r="EX227" s="777">
        <f>SUM(EX224:EX226)</f>
        <v>298978</v>
      </c>
      <c r="EZ227" s="777">
        <f>SUM(EZ224:EZ226)</f>
        <v>892609870</v>
      </c>
      <c r="FB227" s="777">
        <f>SUM(FB224:FB226)</f>
        <v>0</v>
      </c>
      <c r="FD227" s="777">
        <f>SUM(FD224:FD226)</f>
        <v>0</v>
      </c>
      <c r="FF227" s="777">
        <f>SUM(FF224:FF226)</f>
        <v>137211708</v>
      </c>
      <c r="FH227" s="777">
        <f>SUM(FH224:FH226)</f>
        <v>0</v>
      </c>
      <c r="FJ227" s="777">
        <f>SUM(FJ224:FJ226)</f>
        <v>137211708</v>
      </c>
      <c r="FL227" s="777">
        <f>SUM(FL224:FL226)</f>
        <v>68770566</v>
      </c>
      <c r="FN227" s="777">
        <f>SUM(FN224:FN226)</f>
        <v>107644</v>
      </c>
      <c r="FP227" s="777">
        <f>SUM(FP224:FP226)</f>
        <v>68878210</v>
      </c>
      <c r="FR227" s="777">
        <f>SUM(FR224:FR226)</f>
        <v>160021525</v>
      </c>
      <c r="FT227" s="777">
        <f>SUM(FT224:FT226)</f>
        <v>18000</v>
      </c>
      <c r="FV227" s="777">
        <f>SUM(FV224:FV226)</f>
        <v>160039525</v>
      </c>
      <c r="FX227" s="777">
        <f>SUM(FX224:FX226)</f>
        <v>35373686</v>
      </c>
      <c r="FZ227" s="777">
        <f>SUM(FZ224:FZ226)</f>
        <v>0</v>
      </c>
      <c r="GB227" s="777">
        <f>SUM(GB224:GB226)</f>
        <v>35373686</v>
      </c>
      <c r="GD227" s="777">
        <v>849482646</v>
      </c>
      <c r="GF227" s="777">
        <v>0</v>
      </c>
      <c r="GH227" s="777">
        <v>849482646</v>
      </c>
      <c r="GK227" s="761">
        <f t="shared" si="807"/>
        <v>2552480926</v>
      </c>
      <c r="GL227" s="973">
        <f t="shared" ref="GL227:GL253" si="810">GK227/1000</f>
        <v>2552480.926</v>
      </c>
      <c r="GM227" s="761">
        <f t="shared" si="808"/>
        <v>2507272794</v>
      </c>
      <c r="GN227" s="973"/>
    </row>
    <row r="228" spans="1:196">
      <c r="J228" s="770">
        <v>197</v>
      </c>
      <c r="BQ228" s="952"/>
      <c r="BW228" s="761"/>
      <c r="BZ228" s="952"/>
      <c r="CB228" s="761"/>
      <c r="CD228" s="952"/>
      <c r="CP228" s="761"/>
      <c r="CV228" s="761"/>
      <c r="DB228" s="761"/>
      <c r="DH228" s="761"/>
      <c r="DN228" s="761"/>
      <c r="DT228" s="761"/>
      <c r="DV228" s="977"/>
      <c r="EB228" s="761"/>
      <c r="ED228" s="978"/>
      <c r="EJ228" s="761"/>
      <c r="EP228" s="761"/>
      <c r="EV228" s="761"/>
      <c r="FB228" s="761"/>
      <c r="FD228" s="761"/>
      <c r="GL228" s="973">
        <f t="shared" si="810"/>
        <v>0</v>
      </c>
      <c r="GN228" s="973"/>
    </row>
    <row r="229" spans="1:196">
      <c r="A229" s="763" t="s">
        <v>462</v>
      </c>
      <c r="I229" s="771"/>
      <c r="J229" s="758">
        <v>198</v>
      </c>
      <c r="K229" s="777">
        <f>K221-K227</f>
        <v>-368862</v>
      </c>
      <c r="M229" s="777">
        <f>M221-M227</f>
        <v>0</v>
      </c>
      <c r="O229" s="777">
        <f>O221-O227</f>
        <v>-368862</v>
      </c>
      <c r="Q229" s="777">
        <f>Q221-Q227</f>
        <v>-8540946</v>
      </c>
      <c r="S229" s="777">
        <f>S221-S227</f>
        <v>-468744</v>
      </c>
      <c r="U229" s="777">
        <f>U221-U227</f>
        <v>-9009690</v>
      </c>
      <c r="W229" s="777">
        <f>W221-W227</f>
        <v>-12498104</v>
      </c>
      <c r="Y229" s="777">
        <f>Y221-Y227</f>
        <v>8018</v>
      </c>
      <c r="AA229" s="777">
        <f>AA221-AA227</f>
        <v>-12490086</v>
      </c>
      <c r="AC229" s="777">
        <f>AC221-AC227</f>
        <v>-9621206</v>
      </c>
      <c r="AE229" s="777">
        <f>AE221-AE227</f>
        <v>-6229</v>
      </c>
      <c r="AG229" s="777">
        <f>AG221-AG227</f>
        <v>-9627435</v>
      </c>
      <c r="AI229" s="777">
        <f>AI221-AI227</f>
        <v>-49423719</v>
      </c>
      <c r="AK229" s="974">
        <f>AK221-AK227</f>
        <v>0</v>
      </c>
      <c r="AM229" s="777">
        <f>AM221-AM227</f>
        <v>0</v>
      </c>
      <c r="AO229" s="777">
        <f>AO221-AO227</f>
        <v>-49423719</v>
      </c>
      <c r="AQ229" s="777">
        <f>AQ221-AQ227</f>
        <v>0</v>
      </c>
      <c r="AS229" s="777">
        <f>AS221-AS227</f>
        <v>0</v>
      </c>
      <c r="AU229" s="777">
        <f>AU221-AU227</f>
        <v>0</v>
      </c>
      <c r="AW229" s="777">
        <f>AW221-AW227</f>
        <v>52892897</v>
      </c>
      <c r="AY229" s="777">
        <f>AY221-AY227</f>
        <v>439775</v>
      </c>
      <c r="BA229" s="777">
        <f>BA221-BA227</f>
        <v>53332672</v>
      </c>
      <c r="BC229" s="777">
        <f>BC221-BC227</f>
        <v>-45789021</v>
      </c>
      <c r="BE229" s="777">
        <f>BE221-BE227</f>
        <v>0</v>
      </c>
      <c r="BG229" s="777">
        <f>BG221-BG227</f>
        <v>-45789021</v>
      </c>
      <c r="BI229" s="777">
        <f>BI221-BI227</f>
        <v>-18004031</v>
      </c>
      <c r="BK229" s="777">
        <f>BK221-BK227</f>
        <v>-648773</v>
      </c>
      <c r="BM229" s="777">
        <f>BM221-BM227</f>
        <v>-18652804</v>
      </c>
      <c r="BO229" s="777">
        <f>BO221-BO227</f>
        <v>-550404</v>
      </c>
      <c r="BQ229" s="974">
        <f>BQ221-BQ227</f>
        <v>0</v>
      </c>
      <c r="BS229" s="777">
        <f>BS221-BS227</f>
        <v>0</v>
      </c>
      <c r="BU229" s="777">
        <f>BU221-BU227</f>
        <v>-550404</v>
      </c>
      <c r="BW229" s="777">
        <f>BW221-BW227</f>
        <v>-7060667</v>
      </c>
      <c r="BZ229" s="974">
        <f>BZ221-BZ227</f>
        <v>0</v>
      </c>
      <c r="CB229" s="777">
        <f>CB221-CB227</f>
        <v>0</v>
      </c>
      <c r="CD229" s="974">
        <f>CD221-CD227</f>
        <v>0</v>
      </c>
      <c r="CF229" s="777">
        <f>CF221-CF227</f>
        <v>0</v>
      </c>
      <c r="CH229" s="777">
        <f>CH221-CH227</f>
        <v>-7060667</v>
      </c>
      <c r="CJ229" s="777">
        <f>CJ221-CJ227</f>
        <v>483881</v>
      </c>
      <c r="CL229" s="777">
        <f>CL221-CL227</f>
        <v>0</v>
      </c>
      <c r="CN229" s="777">
        <f>CN221-CN227</f>
        <v>483881</v>
      </c>
      <c r="CP229" s="777">
        <f>CP221-CP227</f>
        <v>-1508485</v>
      </c>
      <c r="CR229" s="777">
        <f>CR221-CR227</f>
        <v>22039</v>
      </c>
      <c r="CT229" s="777">
        <f>CT221-CT227</f>
        <v>-1486446</v>
      </c>
      <c r="CV229" s="777">
        <f>CV221-CV227</f>
        <v>-3107091</v>
      </c>
      <c r="CX229" s="777">
        <f>CX221-CX227</f>
        <v>-218907</v>
      </c>
      <c r="CZ229" s="777">
        <f>CZ221-CZ227</f>
        <v>-3325998</v>
      </c>
      <c r="DB229" s="777">
        <f>DB221-DB227</f>
        <v>109455000</v>
      </c>
      <c r="DD229" s="777">
        <f>DD221-DD227</f>
        <v>0</v>
      </c>
      <c r="DF229" s="777">
        <f>DF221-DF227</f>
        <v>109455000</v>
      </c>
      <c r="DH229" s="777">
        <f>DH221-DH227</f>
        <v>-1495080</v>
      </c>
      <c r="DJ229" s="777">
        <f>DJ221-DJ227</f>
        <v>0</v>
      </c>
      <c r="DL229" s="777">
        <f>DL221-DL227</f>
        <v>-1495080</v>
      </c>
      <c r="DN229" s="777">
        <f>DN221-DN227</f>
        <v>-1690197</v>
      </c>
      <c r="DP229" s="777">
        <f>DP221-DP227</f>
        <v>-2068756</v>
      </c>
      <c r="DR229" s="777">
        <f>DR221-DR227</f>
        <v>-3758953</v>
      </c>
      <c r="DT229" s="777">
        <f>DT221-DT227</f>
        <v>5844625</v>
      </c>
      <c r="DV229" s="975">
        <f>DV221-DV227</f>
        <v>0</v>
      </c>
      <c r="DX229" s="777">
        <f>DX221-DX227</f>
        <v>0</v>
      </c>
      <c r="DZ229" s="777">
        <f>DZ221-DZ227</f>
        <v>5844625</v>
      </c>
      <c r="EB229" s="777">
        <f>EB221-EB227</f>
        <v>-26108869</v>
      </c>
      <c r="ED229" s="976">
        <f>ED221-ED227</f>
        <v>0</v>
      </c>
      <c r="EF229" s="777">
        <f>EF221-EF227</f>
        <v>0</v>
      </c>
      <c r="EH229" s="777">
        <f>EH221-EH227</f>
        <v>-26108869</v>
      </c>
      <c r="EJ229" s="777">
        <f>EJ221-EJ227</f>
        <v>212260438</v>
      </c>
      <c r="EL229" s="777">
        <f>EL221-EL227</f>
        <v>0</v>
      </c>
      <c r="EN229" s="777">
        <f>EN221-EN227</f>
        <v>212260438</v>
      </c>
      <c r="EP229" s="777">
        <f>EP221-EP227</f>
        <v>19410100</v>
      </c>
      <c r="ER229" s="777">
        <f>ER221-ER227</f>
        <v>0</v>
      </c>
      <c r="ET229" s="777">
        <f>ET221-ET227</f>
        <v>19410100</v>
      </c>
      <c r="EV229" s="777">
        <f>EV221-EV227</f>
        <v>134106364</v>
      </c>
      <c r="EX229" s="777">
        <f>EX221-EX227</f>
        <v>0</v>
      </c>
      <c r="EZ229" s="777">
        <f>EZ221-EZ227</f>
        <v>134106364</v>
      </c>
      <c r="FB229" s="777">
        <f>FB221-FB227</f>
        <v>0</v>
      </c>
      <c r="FD229" s="777">
        <f>FD221-FD227</f>
        <v>0</v>
      </c>
      <c r="FF229" s="777">
        <f>FF221-FF227</f>
        <v>2257006</v>
      </c>
      <c r="FH229" s="777">
        <f>FH221-FH227</f>
        <v>0</v>
      </c>
      <c r="FJ229" s="777">
        <f>FJ221-FJ227</f>
        <v>2257006</v>
      </c>
      <c r="FL229" s="777">
        <f>FL221-FL227</f>
        <v>-57241727</v>
      </c>
      <c r="FN229" s="777">
        <f>FN221-FN227</f>
        <v>-107644</v>
      </c>
      <c r="FP229" s="777">
        <f>FP221-FP227</f>
        <v>-57349371</v>
      </c>
      <c r="FR229" s="777">
        <f>FR221-FR227</f>
        <v>186237337</v>
      </c>
      <c r="FT229" s="777">
        <f>FT221-FT227</f>
        <v>-18000</v>
      </c>
      <c r="FV229" s="777">
        <f>FV221-FV227</f>
        <v>186219337</v>
      </c>
      <c r="FX229" s="777">
        <f>FX221-FX227</f>
        <v>-7983156</v>
      </c>
      <c r="FZ229" s="777">
        <f>FZ221-FZ227</f>
        <v>-3547031</v>
      </c>
      <c r="GB229" s="777">
        <f>GB221-GB227</f>
        <v>-11530187</v>
      </c>
      <c r="GD229" s="777">
        <v>-787823643</v>
      </c>
      <c r="GF229" s="777">
        <v>0</v>
      </c>
      <c r="GH229" s="777">
        <v>-787823643</v>
      </c>
      <c r="GK229" s="761">
        <f>O229+U229+AA229+AG229+AO229+AU229+BA229+BG229+BM229+BU229+CH229+CN229+CT229+CZ229+DF229+DL229+DR229+DZ229+EH229+EN229+ET229+EZ229+FJ229+FP229+FV229+GB229</f>
        <v>465341831</v>
      </c>
      <c r="GL229" s="973">
        <f t="shared" si="810"/>
        <v>465341.83100000001</v>
      </c>
      <c r="GM229" s="761">
        <f>O229+U229+AA229+AG229+AO229+BA229+BG229+BM229+BU229+CH229+CN229+CT229+DF229+DZ229+EH229+EN229+ET229+EZ229+FJ229+FP229+FV229</f>
        <v>485452049</v>
      </c>
      <c r="GN229" s="973"/>
    </row>
    <row r="230" spans="1:196" hidden="1">
      <c r="J230" s="770">
        <v>199</v>
      </c>
      <c r="BQ230" s="952"/>
      <c r="BW230" s="761"/>
      <c r="BZ230" s="952"/>
      <c r="CB230" s="761"/>
      <c r="CD230" s="952"/>
      <c r="CP230" s="761"/>
      <c r="CV230" s="761"/>
      <c r="DB230" s="761"/>
      <c r="DH230" s="761"/>
      <c r="DN230" s="761"/>
      <c r="DT230" s="761"/>
      <c r="DV230" s="977"/>
      <c r="EB230" s="761"/>
      <c r="ED230" s="978"/>
      <c r="EJ230" s="761"/>
      <c r="EP230" s="761"/>
      <c r="EV230" s="761"/>
      <c r="FB230" s="761"/>
      <c r="FD230" s="761"/>
      <c r="GL230" s="973">
        <f t="shared" si="810"/>
        <v>0</v>
      </c>
      <c r="GN230" s="973"/>
    </row>
    <row r="231" spans="1:196">
      <c r="J231" s="758">
        <v>200</v>
      </c>
      <c r="BQ231" s="952"/>
      <c r="BW231" s="761"/>
      <c r="BZ231" s="952"/>
      <c r="CB231" s="761"/>
      <c r="CD231" s="952"/>
      <c r="CP231" s="761"/>
      <c r="CV231" s="761"/>
      <c r="DB231" s="761"/>
      <c r="DH231" s="761"/>
      <c r="DN231" s="761"/>
      <c r="DT231" s="761"/>
      <c r="DV231" s="977"/>
      <c r="EB231" s="761"/>
      <c r="ED231" s="978"/>
      <c r="EJ231" s="761"/>
      <c r="EP231" s="761"/>
      <c r="EV231" s="761"/>
      <c r="FB231" s="761"/>
      <c r="FD231" s="761"/>
      <c r="GL231" s="973">
        <f t="shared" si="810"/>
        <v>0</v>
      </c>
      <c r="GN231" s="973"/>
    </row>
    <row r="232" spans="1:196">
      <c r="A232" s="763" t="s">
        <v>182</v>
      </c>
      <c r="I232" s="771"/>
      <c r="J232" s="770">
        <v>201</v>
      </c>
      <c r="BQ232" s="952"/>
      <c r="BW232" s="761"/>
      <c r="BZ232" s="952"/>
      <c r="CB232" s="761"/>
      <c r="CD232" s="952"/>
      <c r="CP232" s="761"/>
      <c r="CV232" s="761"/>
      <c r="DB232" s="761"/>
      <c r="DH232" s="761"/>
      <c r="DN232" s="761"/>
      <c r="DT232" s="761"/>
      <c r="DV232" s="977"/>
      <c r="EB232" s="761"/>
      <c r="ED232" s="978"/>
      <c r="EJ232" s="761"/>
      <c r="EP232" s="761"/>
      <c r="EV232" s="761"/>
      <c r="FB232" s="761"/>
      <c r="FD232" s="761"/>
      <c r="GL232" s="973">
        <f t="shared" si="810"/>
        <v>0</v>
      </c>
      <c r="GN232" s="973"/>
    </row>
    <row r="233" spans="1:196">
      <c r="B233" s="766" t="s">
        <v>595</v>
      </c>
      <c r="J233" s="758">
        <v>202</v>
      </c>
      <c r="K233" s="775"/>
      <c r="M233" s="775"/>
      <c r="O233" s="775">
        <f t="shared" ref="O233:O245" si="811">K233+M233</f>
        <v>0</v>
      </c>
      <c r="Q233" s="775">
        <v>5752750</v>
      </c>
      <c r="S233" s="775"/>
      <c r="U233" s="775">
        <f t="shared" ref="U233:U245" si="812">Q233+S233</f>
        <v>5752750</v>
      </c>
      <c r="W233" s="775"/>
      <c r="Y233" s="775"/>
      <c r="AA233" s="775">
        <f t="shared" ref="AA233:AA245" si="813">W233+Y233</f>
        <v>0</v>
      </c>
      <c r="AC233" s="775">
        <v>16000000</v>
      </c>
      <c r="AE233" s="775"/>
      <c r="AG233" s="775">
        <f t="shared" ref="AG233:AG245" si="814">AC233+AE233</f>
        <v>16000000</v>
      </c>
      <c r="AI233" s="775">
        <v>50414789</v>
      </c>
      <c r="AK233" s="970">
        <v>0</v>
      </c>
      <c r="AM233" s="775"/>
      <c r="AO233" s="775">
        <f t="shared" ref="AO233:AO245" si="815">AI233+AM233</f>
        <v>50414789</v>
      </c>
      <c r="AQ233" s="775"/>
      <c r="AS233" s="775"/>
      <c r="AU233" s="775">
        <f t="shared" ref="AU233:AU245" si="816">AQ233+AS233</f>
        <v>0</v>
      </c>
      <c r="AW233" s="775"/>
      <c r="AY233" s="775"/>
      <c r="BA233" s="775">
        <f t="shared" ref="BA233:BA245" si="817">AW233+AY233</f>
        <v>0</v>
      </c>
      <c r="BC233" s="775">
        <v>27463032</v>
      </c>
      <c r="BE233" s="775"/>
      <c r="BG233" s="775">
        <f t="shared" ref="BG233:BG245" si="818">BC233+BE233</f>
        <v>27463032</v>
      </c>
      <c r="BI233" s="775"/>
      <c r="BK233" s="775"/>
      <c r="BM233" s="775">
        <f t="shared" ref="BM233:BM245" si="819">BI233+BK233</f>
        <v>0</v>
      </c>
      <c r="BO233" s="775"/>
      <c r="BQ233" s="970"/>
      <c r="BS233" s="775"/>
      <c r="BU233" s="986">
        <f t="shared" ref="BU233:BU245" si="820">BO233+BS233</f>
        <v>0</v>
      </c>
      <c r="BW233" s="775">
        <v>7124850</v>
      </c>
      <c r="BZ233" s="970"/>
      <c r="CB233" s="775"/>
      <c r="CD233" s="970"/>
      <c r="CF233" s="775"/>
      <c r="CH233" s="775">
        <f t="shared" ref="CH233:CH245" si="821">BW233+CF233</f>
        <v>7124850</v>
      </c>
      <c r="CJ233" s="775"/>
      <c r="CL233" s="775"/>
      <c r="CN233" s="775">
        <f t="shared" ref="CN233:CN245" si="822">CJ233+CL233</f>
        <v>0</v>
      </c>
      <c r="CP233" s="775">
        <v>1752512</v>
      </c>
      <c r="CR233" s="775"/>
      <c r="CT233" s="775">
        <f t="shared" ref="CT233:CT245" si="823">CP233+CR233</f>
        <v>1752512</v>
      </c>
      <c r="CV233" s="775"/>
      <c r="CX233" s="775"/>
      <c r="CZ233" s="775">
        <f t="shared" ref="CZ233:CZ245" si="824">CV233+CX233</f>
        <v>0</v>
      </c>
      <c r="DB233" s="775"/>
      <c r="DD233" s="775"/>
      <c r="DF233" s="775">
        <f t="shared" ref="DF233:DF245" si="825">DB233+DD233</f>
        <v>0</v>
      </c>
      <c r="DH233" s="775"/>
      <c r="DJ233" s="775"/>
      <c r="DL233" s="775">
        <f t="shared" ref="DL233:DL245" si="826">DH233+DJ233</f>
        <v>0</v>
      </c>
      <c r="DN233" s="775"/>
      <c r="DP233" s="775"/>
      <c r="DR233" s="775">
        <f t="shared" ref="DR233:DR245" si="827">DN233+DP233</f>
        <v>0</v>
      </c>
      <c r="DT233" s="775"/>
      <c r="DV233" s="971">
        <v>0</v>
      </c>
      <c r="DX233" s="775"/>
      <c r="DZ233" s="775">
        <f t="shared" ref="DZ233:DZ245" si="828">DT233+DX233</f>
        <v>0</v>
      </c>
      <c r="EB233" s="775">
        <v>54202971</v>
      </c>
      <c r="ED233" s="972">
        <v>0</v>
      </c>
      <c r="EF233" s="775"/>
      <c r="EH233" s="775">
        <f t="shared" ref="EH233:EH245" si="829">EB233+EF233</f>
        <v>54202971</v>
      </c>
      <c r="EJ233" s="775"/>
      <c r="EL233" s="775"/>
      <c r="EN233" s="775">
        <f t="shared" ref="EN233:EN245" si="830">EJ233+EL233</f>
        <v>0</v>
      </c>
      <c r="EP233" s="775"/>
      <c r="ER233" s="775"/>
      <c r="ET233" s="775">
        <f t="shared" ref="ET233:ET245" si="831">EP233+ER233</f>
        <v>0</v>
      </c>
      <c r="EV233" s="776">
        <v>60051110</v>
      </c>
      <c r="EX233" s="775"/>
      <c r="EZ233" s="775">
        <f t="shared" ref="EZ233:EZ245" si="832">EV233+EX233</f>
        <v>60051110</v>
      </c>
      <c r="FB233" s="775"/>
      <c r="FD233" s="775"/>
      <c r="FF233" s="775"/>
      <c r="FH233" s="775"/>
      <c r="FJ233" s="775">
        <f t="shared" ref="FJ233:FJ245" si="833">FF233+FH233</f>
        <v>0</v>
      </c>
      <c r="FL233" s="775">
        <v>47863371</v>
      </c>
      <c r="FN233" s="775"/>
      <c r="FP233" s="775">
        <f t="shared" ref="FP233:FP245" si="834">FL233+FN233</f>
        <v>47863371</v>
      </c>
      <c r="FR233" s="775"/>
      <c r="FT233" s="775"/>
      <c r="FV233" s="775">
        <f t="shared" ref="FV233:FV245" si="835">FR233+FT233</f>
        <v>0</v>
      </c>
      <c r="FX233" s="775"/>
      <c r="FZ233" s="775"/>
      <c r="GB233" s="775">
        <f t="shared" ref="GB233:GB245" si="836">FX233+FZ233</f>
        <v>0</v>
      </c>
      <c r="GD233" s="775">
        <v>562091869</v>
      </c>
      <c r="GF233" s="775"/>
      <c r="GH233" s="775">
        <v>562091869</v>
      </c>
      <c r="GK233" s="761">
        <f t="shared" ref="GK233:GK247" si="837">O233+U233+AA233+AG233+AO233+AU233+BA233+BG233+BM233+BU233+CH233+CN233+CT233+CZ233+DF233+DL233+DR233+DZ233+EH233+EN233+ET233+EZ233+FJ233+FP233+FV233+GB233</f>
        <v>270625385</v>
      </c>
      <c r="GL233" s="973">
        <f t="shared" si="810"/>
        <v>270625.38500000001</v>
      </c>
      <c r="GM233" s="761">
        <f t="shared" ref="GM233:GM245" si="838">O233+U233+AA233+AG233+AO233+BA233+BG233+BM233+BU233+CH233+CN233+CT233+DF233+DZ233+EH233+EN233+ET233+EZ233+FJ233+FP233+FV233</f>
        <v>270625385</v>
      </c>
      <c r="GN233" s="973"/>
    </row>
    <row r="234" spans="1:196">
      <c r="B234" s="766" t="s">
        <v>596</v>
      </c>
      <c r="J234" s="770">
        <v>203</v>
      </c>
      <c r="K234" s="775">
        <v>48571</v>
      </c>
      <c r="M234" s="775"/>
      <c r="O234" s="775">
        <f t="shared" si="811"/>
        <v>48571</v>
      </c>
      <c r="Q234" s="776">
        <v>90623</v>
      </c>
      <c r="S234" s="775"/>
      <c r="U234" s="775">
        <f t="shared" si="812"/>
        <v>90623</v>
      </c>
      <c r="W234" s="775">
        <v>11671993</v>
      </c>
      <c r="Y234" s="775"/>
      <c r="AA234" s="775">
        <f t="shared" si="813"/>
        <v>11671993</v>
      </c>
      <c r="AC234" s="775"/>
      <c r="AE234" s="775"/>
      <c r="AG234" s="775">
        <f t="shared" si="814"/>
        <v>0</v>
      </c>
      <c r="AI234" s="775"/>
      <c r="AK234" s="970">
        <v>0</v>
      </c>
      <c r="AM234" s="775"/>
      <c r="AO234" s="775">
        <f t="shared" si="815"/>
        <v>0</v>
      </c>
      <c r="AQ234" s="775"/>
      <c r="AS234" s="775"/>
      <c r="AU234" s="775">
        <f t="shared" si="816"/>
        <v>0</v>
      </c>
      <c r="AW234" s="775"/>
      <c r="AY234" s="775"/>
      <c r="BA234" s="775">
        <f t="shared" si="817"/>
        <v>0</v>
      </c>
      <c r="BC234" s="775"/>
      <c r="BE234" s="775"/>
      <c r="BG234" s="775">
        <f t="shared" si="818"/>
        <v>0</v>
      </c>
      <c r="BI234" s="775"/>
      <c r="BK234" s="775"/>
      <c r="BM234" s="775">
        <f t="shared" si="819"/>
        <v>0</v>
      </c>
      <c r="BO234" s="775"/>
      <c r="BQ234" s="970"/>
      <c r="BS234" s="775"/>
      <c r="BU234" s="986">
        <f t="shared" si="820"/>
        <v>0</v>
      </c>
      <c r="BW234" s="775"/>
      <c r="BZ234" s="970"/>
      <c r="CB234" s="775"/>
      <c r="CD234" s="970"/>
      <c r="CF234" s="775"/>
      <c r="CH234" s="775">
        <f t="shared" si="821"/>
        <v>0</v>
      </c>
      <c r="CJ234" s="775"/>
      <c r="CL234" s="775"/>
      <c r="CN234" s="775">
        <f t="shared" si="822"/>
        <v>0</v>
      </c>
      <c r="CP234" s="775"/>
      <c r="CR234" s="775"/>
      <c r="CT234" s="775">
        <f t="shared" si="823"/>
        <v>0</v>
      </c>
      <c r="CV234" s="775">
        <v>98518</v>
      </c>
      <c r="CX234" s="775"/>
      <c r="CZ234" s="775">
        <f t="shared" si="824"/>
        <v>98518</v>
      </c>
      <c r="DB234" s="775"/>
      <c r="DD234" s="775"/>
      <c r="DF234" s="775">
        <f t="shared" si="825"/>
        <v>0</v>
      </c>
      <c r="DH234" s="775">
        <v>255022</v>
      </c>
      <c r="DJ234" s="775"/>
      <c r="DL234" s="775">
        <f t="shared" si="826"/>
        <v>255022</v>
      </c>
      <c r="DN234" s="776">
        <v>1691174</v>
      </c>
      <c r="DP234" s="775"/>
      <c r="DR234" s="775">
        <f t="shared" si="827"/>
        <v>1691174</v>
      </c>
      <c r="DT234" s="775"/>
      <c r="DV234" s="971">
        <v>0</v>
      </c>
      <c r="DX234" s="775"/>
      <c r="DZ234" s="775">
        <f t="shared" si="828"/>
        <v>0</v>
      </c>
      <c r="EB234" s="775"/>
      <c r="ED234" s="972"/>
      <c r="EF234" s="775"/>
      <c r="EH234" s="775">
        <f t="shared" si="829"/>
        <v>0</v>
      </c>
      <c r="EJ234" s="775"/>
      <c r="EL234" s="775"/>
      <c r="EN234" s="775">
        <f t="shared" si="830"/>
        <v>0</v>
      </c>
      <c r="EP234" s="775"/>
      <c r="ER234" s="775"/>
      <c r="ET234" s="775">
        <f t="shared" si="831"/>
        <v>0</v>
      </c>
      <c r="EV234" s="775"/>
      <c r="EX234" s="775"/>
      <c r="EZ234" s="775">
        <f t="shared" si="832"/>
        <v>0</v>
      </c>
      <c r="FB234" s="775"/>
      <c r="FD234" s="775"/>
      <c r="FF234" s="775"/>
      <c r="FH234" s="775"/>
      <c r="FJ234" s="775">
        <f t="shared" si="833"/>
        <v>0</v>
      </c>
      <c r="FL234" s="775"/>
      <c r="FN234" s="775"/>
      <c r="FP234" s="775">
        <f t="shared" si="834"/>
        <v>0</v>
      </c>
      <c r="FR234" s="775">
        <v>194093598</v>
      </c>
      <c r="FT234" s="775"/>
      <c r="FV234" s="775">
        <f t="shared" si="835"/>
        <v>194093598</v>
      </c>
      <c r="FX234" s="775">
        <v>11672942</v>
      </c>
      <c r="FZ234" s="775">
        <v>-407199</v>
      </c>
      <c r="GB234" s="775">
        <f t="shared" si="836"/>
        <v>11265743</v>
      </c>
      <c r="GD234" s="775"/>
      <c r="GF234" s="775"/>
      <c r="GH234" s="775">
        <v>0</v>
      </c>
      <c r="GK234" s="761">
        <f t="shared" si="837"/>
        <v>219215242</v>
      </c>
      <c r="GL234" s="973">
        <f t="shared" si="810"/>
        <v>219215.242</v>
      </c>
      <c r="GM234" s="761">
        <f t="shared" si="838"/>
        <v>205904785</v>
      </c>
      <c r="GN234" s="973"/>
    </row>
    <row r="235" spans="1:196">
      <c r="B235" s="766" t="s">
        <v>597</v>
      </c>
      <c r="I235" s="771"/>
      <c r="J235" s="758">
        <v>204</v>
      </c>
      <c r="K235" s="775">
        <v>-1102819</v>
      </c>
      <c r="M235" s="775"/>
      <c r="O235" s="775">
        <f t="shared" si="811"/>
        <v>-1102819</v>
      </c>
      <c r="Q235" s="775">
        <v>692521</v>
      </c>
      <c r="S235" s="775"/>
      <c r="U235" s="775">
        <f t="shared" si="812"/>
        <v>692521</v>
      </c>
      <c r="W235" s="775">
        <v>392150</v>
      </c>
      <c r="Y235" s="775"/>
      <c r="AA235" s="775">
        <f t="shared" si="813"/>
        <v>392150</v>
      </c>
      <c r="AC235" s="775"/>
      <c r="AE235" s="775"/>
      <c r="AG235" s="775">
        <f t="shared" si="814"/>
        <v>0</v>
      </c>
      <c r="AI235" s="775">
        <v>887320</v>
      </c>
      <c r="AK235" s="970">
        <v>0</v>
      </c>
      <c r="AM235" s="775"/>
      <c r="AO235" s="775">
        <f t="shared" si="815"/>
        <v>887320</v>
      </c>
      <c r="AQ235" s="775"/>
      <c r="AS235" s="775"/>
      <c r="AU235" s="775">
        <f t="shared" si="816"/>
        <v>0</v>
      </c>
      <c r="AW235" s="775">
        <v>1776747</v>
      </c>
      <c r="AY235" s="775"/>
      <c r="BA235" s="775">
        <f t="shared" si="817"/>
        <v>1776747</v>
      </c>
      <c r="BC235" s="775">
        <v>1568655</v>
      </c>
      <c r="BE235" s="775"/>
      <c r="BG235" s="775">
        <f t="shared" si="818"/>
        <v>1568655</v>
      </c>
      <c r="BI235" s="775">
        <v>-3174076</v>
      </c>
      <c r="BK235" s="775"/>
      <c r="BM235" s="775">
        <f t="shared" si="819"/>
        <v>-3174076</v>
      </c>
      <c r="BO235" s="775">
        <v>296643</v>
      </c>
      <c r="BQ235" s="970"/>
      <c r="BS235" s="775"/>
      <c r="BU235" s="775">
        <f t="shared" si="820"/>
        <v>296643</v>
      </c>
      <c r="BW235" s="775"/>
      <c r="BZ235" s="970"/>
      <c r="CB235" s="775"/>
      <c r="CD235" s="970"/>
      <c r="CF235" s="775"/>
      <c r="CH235" s="775">
        <f t="shared" si="821"/>
        <v>0</v>
      </c>
      <c r="CJ235" s="775"/>
      <c r="CL235" s="775"/>
      <c r="CN235" s="775">
        <f t="shared" si="822"/>
        <v>0</v>
      </c>
      <c r="CP235" s="775"/>
      <c r="CR235" s="775"/>
      <c r="CT235" s="775">
        <f t="shared" si="823"/>
        <v>0</v>
      </c>
      <c r="CV235" s="775">
        <v>83943</v>
      </c>
      <c r="CX235" s="775"/>
      <c r="CZ235" s="775">
        <f t="shared" si="824"/>
        <v>83943</v>
      </c>
      <c r="DB235" s="775">
        <v>6068000</v>
      </c>
      <c r="DD235" s="775"/>
      <c r="DF235" s="775">
        <f t="shared" si="825"/>
        <v>6068000</v>
      </c>
      <c r="DH235" s="775">
        <v>455518</v>
      </c>
      <c r="DJ235" s="775"/>
      <c r="DL235" s="775">
        <f t="shared" si="826"/>
        <v>455518</v>
      </c>
      <c r="DN235" s="775">
        <v>227261</v>
      </c>
      <c r="DP235" s="775"/>
      <c r="DR235" s="775">
        <f t="shared" si="827"/>
        <v>227261</v>
      </c>
      <c r="DT235" s="775">
        <v>909205</v>
      </c>
      <c r="DV235" s="971">
        <v>0</v>
      </c>
      <c r="DX235" s="775"/>
      <c r="DZ235" s="775">
        <f t="shared" si="828"/>
        <v>909205</v>
      </c>
      <c r="EB235" s="776"/>
      <c r="ED235" s="972"/>
      <c r="EF235" s="775"/>
      <c r="EH235" s="775">
        <f t="shared" si="829"/>
        <v>0</v>
      </c>
      <c r="EJ235" s="776"/>
      <c r="EL235" s="775"/>
      <c r="EN235" s="775">
        <f t="shared" si="830"/>
        <v>0</v>
      </c>
      <c r="EP235" s="776">
        <v>18252535</v>
      </c>
      <c r="ER235" s="775"/>
      <c r="ET235" s="775">
        <f t="shared" si="831"/>
        <v>18252535</v>
      </c>
      <c r="EV235" s="775">
        <v>24678000</v>
      </c>
      <c r="EX235" s="775"/>
      <c r="EZ235" s="775">
        <f t="shared" si="832"/>
        <v>24678000</v>
      </c>
      <c r="FB235" s="775"/>
      <c r="FD235" s="775"/>
      <c r="FF235" s="776">
        <v>9819108</v>
      </c>
      <c r="FH235" s="775"/>
      <c r="FJ235" s="775">
        <f t="shared" si="833"/>
        <v>9819108</v>
      </c>
      <c r="FL235" s="775">
        <v>6169443</v>
      </c>
      <c r="FN235" s="775"/>
      <c r="FP235" s="775">
        <f t="shared" si="834"/>
        <v>6169443</v>
      </c>
      <c r="FR235" s="775">
        <v>20250213</v>
      </c>
      <c r="FT235" s="775"/>
      <c r="FV235" s="775">
        <f t="shared" si="835"/>
        <v>20250213</v>
      </c>
      <c r="FX235" s="775">
        <v>1057585</v>
      </c>
      <c r="FZ235" s="775">
        <v>3634990</v>
      </c>
      <c r="GB235" s="775">
        <f t="shared" si="836"/>
        <v>4692575</v>
      </c>
      <c r="GD235" s="775">
        <v>281259</v>
      </c>
      <c r="GF235" s="775">
        <v>-281259</v>
      </c>
      <c r="GH235" s="775">
        <v>0</v>
      </c>
      <c r="GK235" s="761">
        <f t="shared" si="837"/>
        <v>92942942</v>
      </c>
      <c r="GL235" s="973">
        <f t="shared" si="810"/>
        <v>92942.941999999995</v>
      </c>
      <c r="GM235" s="761">
        <f t="shared" si="838"/>
        <v>87483645</v>
      </c>
      <c r="GN235" s="973"/>
    </row>
    <row r="236" spans="1:196">
      <c r="B236" s="780" t="s">
        <v>40</v>
      </c>
      <c r="J236" s="770">
        <v>205</v>
      </c>
      <c r="K236" s="775"/>
      <c r="M236" s="775"/>
      <c r="O236" s="775">
        <f t="shared" si="811"/>
        <v>0</v>
      </c>
      <c r="Q236" s="775"/>
      <c r="S236" s="775"/>
      <c r="U236" s="775">
        <f t="shared" si="812"/>
        <v>0</v>
      </c>
      <c r="W236" s="775">
        <v>87598</v>
      </c>
      <c r="Y236" s="775"/>
      <c r="AA236" s="775">
        <f t="shared" si="813"/>
        <v>87598</v>
      </c>
      <c r="AC236" s="775">
        <v>-3698</v>
      </c>
      <c r="AE236" s="775">
        <v>3698</v>
      </c>
      <c r="AG236" s="775">
        <f t="shared" si="814"/>
        <v>0</v>
      </c>
      <c r="AI236" s="775"/>
      <c r="AK236" s="970">
        <v>0</v>
      </c>
      <c r="AM236" s="775"/>
      <c r="AO236" s="775">
        <f t="shared" si="815"/>
        <v>0</v>
      </c>
      <c r="AQ236" s="776"/>
      <c r="AS236" s="775"/>
      <c r="AU236" s="775">
        <f t="shared" si="816"/>
        <v>0</v>
      </c>
      <c r="AW236" s="775"/>
      <c r="AY236" s="775"/>
      <c r="BA236" s="775">
        <f t="shared" si="817"/>
        <v>0</v>
      </c>
      <c r="BC236" s="775"/>
      <c r="BE236" s="775"/>
      <c r="BG236" s="775">
        <f t="shared" si="818"/>
        <v>0</v>
      </c>
      <c r="BI236" s="775">
        <v>30702</v>
      </c>
      <c r="BK236" s="775"/>
      <c r="BM236" s="775">
        <f t="shared" si="819"/>
        <v>30702</v>
      </c>
      <c r="BO236" s="775"/>
      <c r="BQ236" s="970"/>
      <c r="BS236" s="775"/>
      <c r="BU236" s="986">
        <f t="shared" si="820"/>
        <v>0</v>
      </c>
      <c r="BW236" s="775"/>
      <c r="BZ236" s="970"/>
      <c r="CB236" s="775"/>
      <c r="CD236" s="970"/>
      <c r="CF236" s="775"/>
      <c r="CH236" s="775">
        <f t="shared" si="821"/>
        <v>0</v>
      </c>
      <c r="CJ236" s="775"/>
      <c r="CL236" s="775"/>
      <c r="CN236" s="775">
        <f t="shared" si="822"/>
        <v>0</v>
      </c>
      <c r="CP236" s="775"/>
      <c r="CR236" s="775"/>
      <c r="CT236" s="775">
        <f t="shared" si="823"/>
        <v>0</v>
      </c>
      <c r="CV236" s="775"/>
      <c r="CX236" s="775"/>
      <c r="CZ236" s="775">
        <f t="shared" si="824"/>
        <v>0</v>
      </c>
      <c r="DB236" s="775"/>
      <c r="DD236" s="775"/>
      <c r="DF236" s="775">
        <f t="shared" si="825"/>
        <v>0</v>
      </c>
      <c r="DH236" s="775"/>
      <c r="DJ236" s="775"/>
      <c r="DL236" s="775">
        <f t="shared" si="826"/>
        <v>0</v>
      </c>
      <c r="DN236" s="775"/>
      <c r="DP236" s="775"/>
      <c r="DR236" s="775">
        <f t="shared" si="827"/>
        <v>0</v>
      </c>
      <c r="DT236" s="775"/>
      <c r="DV236" s="971">
        <v>0</v>
      </c>
      <c r="DX236" s="775"/>
      <c r="DZ236" s="775">
        <f t="shared" si="828"/>
        <v>0</v>
      </c>
      <c r="EB236" s="775"/>
      <c r="ED236" s="972"/>
      <c r="EF236" s="775"/>
      <c r="EH236" s="775">
        <f t="shared" si="829"/>
        <v>0</v>
      </c>
      <c r="EJ236" s="775"/>
      <c r="EL236" s="775"/>
      <c r="EN236" s="775">
        <f t="shared" si="830"/>
        <v>0</v>
      </c>
      <c r="EP236" s="776"/>
      <c r="ER236" s="775"/>
      <c r="ET236" s="775">
        <f t="shared" si="831"/>
        <v>0</v>
      </c>
      <c r="EV236" s="775"/>
      <c r="EX236" s="775"/>
      <c r="EZ236" s="775">
        <f t="shared" si="832"/>
        <v>0</v>
      </c>
      <c r="FB236" s="775"/>
      <c r="FD236" s="775"/>
      <c r="FF236" s="776"/>
      <c r="FH236" s="775"/>
      <c r="FJ236" s="775">
        <f t="shared" si="833"/>
        <v>0</v>
      </c>
      <c r="FL236" s="775"/>
      <c r="FN236" s="775"/>
      <c r="FP236" s="775">
        <f t="shared" si="834"/>
        <v>0</v>
      </c>
      <c r="FR236" s="775"/>
      <c r="FT236" s="775"/>
      <c r="FV236" s="775">
        <f t="shared" si="835"/>
        <v>0</v>
      </c>
      <c r="FX236" s="775"/>
      <c r="FZ236" s="775"/>
      <c r="GB236" s="775">
        <f t="shared" si="836"/>
        <v>0</v>
      </c>
      <c r="GD236" s="775"/>
      <c r="GF236" s="775"/>
      <c r="GH236" s="775">
        <v>0</v>
      </c>
      <c r="GK236" s="761">
        <f t="shared" si="837"/>
        <v>118300</v>
      </c>
      <c r="GL236" s="973">
        <f t="shared" si="810"/>
        <v>118.3</v>
      </c>
      <c r="GM236" s="761">
        <f t="shared" si="838"/>
        <v>118300</v>
      </c>
      <c r="GN236" s="973"/>
    </row>
    <row r="237" spans="1:196">
      <c r="B237" s="766" t="s">
        <v>1324</v>
      </c>
      <c r="J237" s="758">
        <v>206</v>
      </c>
      <c r="K237" s="775">
        <v>38590</v>
      </c>
      <c r="M237" s="775"/>
      <c r="O237" s="775">
        <f t="shared" si="811"/>
        <v>38590</v>
      </c>
      <c r="Q237" s="775"/>
      <c r="S237" s="775"/>
      <c r="U237" s="775">
        <f t="shared" si="812"/>
        <v>0</v>
      </c>
      <c r="W237" s="775">
        <v>9288</v>
      </c>
      <c r="Y237" s="775"/>
      <c r="AA237" s="775">
        <f t="shared" si="813"/>
        <v>9288</v>
      </c>
      <c r="AC237" s="775"/>
      <c r="AE237" s="775"/>
      <c r="AG237" s="775">
        <f t="shared" si="814"/>
        <v>0</v>
      </c>
      <c r="AI237" s="775">
        <v>166765</v>
      </c>
      <c r="AK237" s="970">
        <v>0</v>
      </c>
      <c r="AM237" s="775"/>
      <c r="AO237" s="775">
        <f t="shared" si="815"/>
        <v>166765</v>
      </c>
      <c r="AQ237" s="775"/>
      <c r="AS237" s="775"/>
      <c r="AU237" s="775">
        <f t="shared" si="816"/>
        <v>0</v>
      </c>
      <c r="AW237" s="775">
        <v>2697</v>
      </c>
      <c r="AY237" s="775"/>
      <c r="BA237" s="775">
        <f t="shared" si="817"/>
        <v>2697</v>
      </c>
      <c r="BC237" s="775"/>
      <c r="BE237" s="775"/>
      <c r="BG237" s="775">
        <f t="shared" si="818"/>
        <v>0</v>
      </c>
      <c r="BI237" s="776">
        <v>793339</v>
      </c>
      <c r="BK237" s="775"/>
      <c r="BM237" s="775">
        <f t="shared" si="819"/>
        <v>793339</v>
      </c>
      <c r="BO237" s="775"/>
      <c r="BQ237" s="970"/>
      <c r="BS237" s="775"/>
      <c r="BU237" s="986">
        <f t="shared" si="820"/>
        <v>0</v>
      </c>
      <c r="BW237" s="775">
        <v>429098</v>
      </c>
      <c r="BZ237" s="970"/>
      <c r="CB237" s="775"/>
      <c r="CD237" s="970"/>
      <c r="CF237" s="775"/>
      <c r="CH237" s="775">
        <f t="shared" si="821"/>
        <v>429098</v>
      </c>
      <c r="CJ237" s="775">
        <v>1322</v>
      </c>
      <c r="CL237" s="775"/>
      <c r="CN237" s="775">
        <f t="shared" si="822"/>
        <v>1322</v>
      </c>
      <c r="CP237" s="775"/>
      <c r="CR237" s="775"/>
      <c r="CT237" s="775">
        <f t="shared" si="823"/>
        <v>0</v>
      </c>
      <c r="CV237" s="775">
        <v>20</v>
      </c>
      <c r="CX237" s="775"/>
      <c r="CZ237" s="775">
        <f t="shared" si="824"/>
        <v>20</v>
      </c>
      <c r="DB237" s="775">
        <v>2015000</v>
      </c>
      <c r="DD237" s="775"/>
      <c r="DF237" s="775">
        <f t="shared" si="825"/>
        <v>2015000</v>
      </c>
      <c r="DH237" s="775"/>
      <c r="DJ237" s="775"/>
      <c r="DL237" s="775">
        <f t="shared" si="826"/>
        <v>0</v>
      </c>
      <c r="DN237" s="776"/>
      <c r="DP237" s="775"/>
      <c r="DR237" s="775">
        <f t="shared" si="827"/>
        <v>0</v>
      </c>
      <c r="DT237" s="775"/>
      <c r="DV237" s="971">
        <v>0</v>
      </c>
      <c r="DX237" s="775"/>
      <c r="DZ237" s="775">
        <f t="shared" si="828"/>
        <v>0</v>
      </c>
      <c r="EB237" s="775">
        <v>806028</v>
      </c>
      <c r="ED237" s="972"/>
      <c r="EF237" s="775"/>
      <c r="EH237" s="775">
        <f t="shared" si="829"/>
        <v>806028</v>
      </c>
      <c r="EJ237" s="775"/>
      <c r="EL237" s="775"/>
      <c r="EN237" s="775">
        <f t="shared" si="830"/>
        <v>0</v>
      </c>
      <c r="EP237" s="776"/>
      <c r="ER237" s="775"/>
      <c r="ET237" s="775">
        <f t="shared" si="831"/>
        <v>0</v>
      </c>
      <c r="EV237" s="775"/>
      <c r="EX237" s="775"/>
      <c r="EZ237" s="775">
        <f t="shared" si="832"/>
        <v>0</v>
      </c>
      <c r="FB237" s="775"/>
      <c r="FD237" s="775"/>
      <c r="FF237" s="776">
        <v>182063</v>
      </c>
      <c r="FH237" s="775"/>
      <c r="FJ237" s="775">
        <f t="shared" si="833"/>
        <v>182063</v>
      </c>
      <c r="FL237" s="775">
        <v>69461</v>
      </c>
      <c r="FN237" s="775"/>
      <c r="FP237" s="775">
        <f t="shared" si="834"/>
        <v>69461</v>
      </c>
      <c r="FR237" s="776">
        <v>107418</v>
      </c>
      <c r="FT237" s="775"/>
      <c r="FV237" s="775">
        <f t="shared" si="835"/>
        <v>107418</v>
      </c>
      <c r="FX237" s="775">
        <v>15000</v>
      </c>
      <c r="FZ237" s="775">
        <v>727615</v>
      </c>
      <c r="GB237" s="775">
        <f t="shared" si="836"/>
        <v>742615</v>
      </c>
      <c r="GD237" s="775"/>
      <c r="GF237" s="775">
        <v>281259</v>
      </c>
      <c r="GH237" s="775">
        <v>281259</v>
      </c>
      <c r="GK237" s="761">
        <f t="shared" si="837"/>
        <v>5363704</v>
      </c>
      <c r="GL237" s="973">
        <f t="shared" si="810"/>
        <v>5363.7039999999997</v>
      </c>
      <c r="GM237" s="761">
        <f t="shared" si="838"/>
        <v>4621069</v>
      </c>
      <c r="GN237" s="973"/>
    </row>
    <row r="238" spans="1:196">
      <c r="B238" s="766" t="s">
        <v>438</v>
      </c>
      <c r="I238" s="771"/>
      <c r="J238" s="770">
        <v>207</v>
      </c>
      <c r="K238" s="775"/>
      <c r="M238" s="775"/>
      <c r="O238" s="775">
        <f t="shared" si="811"/>
        <v>0</v>
      </c>
      <c r="Q238" s="775"/>
      <c r="S238" s="775"/>
      <c r="U238" s="775">
        <f t="shared" si="812"/>
        <v>0</v>
      </c>
      <c r="W238" s="775"/>
      <c r="Y238" s="775"/>
      <c r="AA238" s="775">
        <f t="shared" si="813"/>
        <v>0</v>
      </c>
      <c r="AC238" s="775"/>
      <c r="AE238" s="775"/>
      <c r="AG238" s="775">
        <f t="shared" si="814"/>
        <v>0</v>
      </c>
      <c r="AI238" s="775"/>
      <c r="AK238" s="970">
        <v>0</v>
      </c>
      <c r="AM238" s="775"/>
      <c r="AO238" s="775">
        <f t="shared" si="815"/>
        <v>0</v>
      </c>
      <c r="AQ238" s="775"/>
      <c r="AS238" s="775"/>
      <c r="AU238" s="775">
        <f t="shared" si="816"/>
        <v>0</v>
      </c>
      <c r="AW238" s="775"/>
      <c r="AY238" s="775"/>
      <c r="BA238" s="775">
        <f t="shared" si="817"/>
        <v>0</v>
      </c>
      <c r="BC238" s="775"/>
      <c r="BE238" s="775"/>
      <c r="BG238" s="775">
        <f t="shared" si="818"/>
        <v>0</v>
      </c>
      <c r="BI238" s="775"/>
      <c r="BK238" s="775"/>
      <c r="BM238" s="775">
        <f t="shared" si="819"/>
        <v>0</v>
      </c>
      <c r="BO238" s="775"/>
      <c r="BQ238" s="970"/>
      <c r="BS238" s="775"/>
      <c r="BU238" s="986">
        <f t="shared" si="820"/>
        <v>0</v>
      </c>
      <c r="BW238" s="775"/>
      <c r="BZ238" s="970"/>
      <c r="CB238" s="775"/>
      <c r="CD238" s="970"/>
      <c r="CF238" s="775"/>
      <c r="CH238" s="775">
        <f t="shared" si="821"/>
        <v>0</v>
      </c>
      <c r="CJ238" s="775"/>
      <c r="CL238" s="775"/>
      <c r="CN238" s="775">
        <f t="shared" si="822"/>
        <v>0</v>
      </c>
      <c r="CP238" s="775"/>
      <c r="CR238" s="775"/>
      <c r="CT238" s="775">
        <f t="shared" si="823"/>
        <v>0</v>
      </c>
      <c r="CV238" s="775"/>
      <c r="CX238" s="775"/>
      <c r="CZ238" s="775">
        <f t="shared" si="824"/>
        <v>0</v>
      </c>
      <c r="DB238" s="775"/>
      <c r="DD238" s="775"/>
      <c r="DF238" s="775">
        <f t="shared" si="825"/>
        <v>0</v>
      </c>
      <c r="DH238" s="775"/>
      <c r="DJ238" s="775"/>
      <c r="DL238" s="775">
        <f t="shared" si="826"/>
        <v>0</v>
      </c>
      <c r="DN238" s="775"/>
      <c r="DP238" s="775"/>
      <c r="DR238" s="775">
        <f t="shared" si="827"/>
        <v>0</v>
      </c>
      <c r="DT238" s="776"/>
      <c r="DV238" s="971">
        <v>0</v>
      </c>
      <c r="DX238" s="775"/>
      <c r="DZ238" s="775">
        <f t="shared" si="828"/>
        <v>0</v>
      </c>
      <c r="EB238" s="775"/>
      <c r="ED238" s="972"/>
      <c r="EF238" s="775"/>
      <c r="EH238" s="775">
        <f t="shared" si="829"/>
        <v>0</v>
      </c>
      <c r="EJ238" s="775"/>
      <c r="EL238" s="775"/>
      <c r="EN238" s="775">
        <f t="shared" si="830"/>
        <v>0</v>
      </c>
      <c r="EP238" s="776"/>
      <c r="ER238" s="775"/>
      <c r="ET238" s="775">
        <f t="shared" si="831"/>
        <v>0</v>
      </c>
      <c r="EV238" s="776"/>
      <c r="EX238" s="775"/>
      <c r="EZ238" s="775">
        <f t="shared" si="832"/>
        <v>0</v>
      </c>
      <c r="FB238" s="775"/>
      <c r="FD238" s="775"/>
      <c r="FF238" s="776"/>
      <c r="FH238" s="775"/>
      <c r="FJ238" s="775">
        <f t="shared" si="833"/>
        <v>0</v>
      </c>
      <c r="FL238" s="776"/>
      <c r="FN238" s="775"/>
      <c r="FP238" s="775">
        <f t="shared" si="834"/>
        <v>0</v>
      </c>
      <c r="FR238" s="776"/>
      <c r="FT238" s="775"/>
      <c r="FV238" s="775">
        <f t="shared" si="835"/>
        <v>0</v>
      </c>
      <c r="FX238" s="775"/>
      <c r="FZ238" s="775"/>
      <c r="GB238" s="775">
        <f t="shared" si="836"/>
        <v>0</v>
      </c>
      <c r="GD238" s="775"/>
      <c r="GF238" s="775"/>
      <c r="GH238" s="775">
        <v>0</v>
      </c>
      <c r="GK238" s="761">
        <f t="shared" si="837"/>
        <v>0</v>
      </c>
      <c r="GL238" s="973">
        <f t="shared" si="810"/>
        <v>0</v>
      </c>
      <c r="GM238" s="761">
        <f t="shared" si="838"/>
        <v>0</v>
      </c>
      <c r="GN238" s="973"/>
    </row>
    <row r="239" spans="1:196">
      <c r="B239" s="766" t="s">
        <v>598</v>
      </c>
      <c r="J239" s="758">
        <v>208</v>
      </c>
      <c r="K239" s="775"/>
      <c r="M239" s="775"/>
      <c r="O239" s="775">
        <f t="shared" si="811"/>
        <v>0</v>
      </c>
      <c r="Q239" s="775"/>
      <c r="S239" s="775"/>
      <c r="U239" s="775">
        <f t="shared" si="812"/>
        <v>0</v>
      </c>
      <c r="W239" s="775"/>
      <c r="Y239" s="775"/>
      <c r="AA239" s="775">
        <f t="shared" si="813"/>
        <v>0</v>
      </c>
      <c r="AC239" s="775"/>
      <c r="AE239" s="775"/>
      <c r="AG239" s="775">
        <f t="shared" si="814"/>
        <v>0</v>
      </c>
      <c r="AI239" s="775"/>
      <c r="AK239" s="970">
        <v>0</v>
      </c>
      <c r="AM239" s="775"/>
      <c r="AO239" s="775">
        <f t="shared" si="815"/>
        <v>0</v>
      </c>
      <c r="AQ239" s="775"/>
      <c r="AS239" s="775"/>
      <c r="AU239" s="775">
        <f t="shared" si="816"/>
        <v>0</v>
      </c>
      <c r="AW239" s="775"/>
      <c r="AY239" s="775"/>
      <c r="BA239" s="775">
        <f t="shared" si="817"/>
        <v>0</v>
      </c>
      <c r="BC239" s="775"/>
      <c r="BE239" s="775"/>
      <c r="BG239" s="775">
        <f t="shared" si="818"/>
        <v>0</v>
      </c>
      <c r="BI239" s="775"/>
      <c r="BK239" s="775"/>
      <c r="BM239" s="775">
        <f t="shared" si="819"/>
        <v>0</v>
      </c>
      <c r="BO239" s="775"/>
      <c r="BQ239" s="970"/>
      <c r="BS239" s="775"/>
      <c r="BU239" s="986">
        <f t="shared" si="820"/>
        <v>0</v>
      </c>
      <c r="BW239" s="775"/>
      <c r="BZ239" s="970"/>
      <c r="CB239" s="775"/>
      <c r="CD239" s="970"/>
      <c r="CF239" s="775"/>
      <c r="CH239" s="775">
        <f t="shared" si="821"/>
        <v>0</v>
      </c>
      <c r="CJ239" s="775"/>
      <c r="CL239" s="775"/>
      <c r="CN239" s="775">
        <f t="shared" si="822"/>
        <v>0</v>
      </c>
      <c r="CP239" s="775"/>
      <c r="CR239" s="775"/>
      <c r="CT239" s="775">
        <f t="shared" si="823"/>
        <v>0</v>
      </c>
      <c r="CV239" s="775"/>
      <c r="CX239" s="775"/>
      <c r="CZ239" s="775">
        <f t="shared" si="824"/>
        <v>0</v>
      </c>
      <c r="DB239" s="775"/>
      <c r="DD239" s="775"/>
      <c r="DF239" s="775">
        <f t="shared" si="825"/>
        <v>0</v>
      </c>
      <c r="DH239" s="775"/>
      <c r="DJ239" s="775"/>
      <c r="DL239" s="775">
        <f t="shared" si="826"/>
        <v>0</v>
      </c>
      <c r="DN239" s="775"/>
      <c r="DP239" s="775"/>
      <c r="DR239" s="775">
        <f t="shared" si="827"/>
        <v>0</v>
      </c>
      <c r="DT239" s="775"/>
      <c r="DV239" s="971">
        <v>0</v>
      </c>
      <c r="DX239" s="775"/>
      <c r="DZ239" s="775">
        <f t="shared" si="828"/>
        <v>0</v>
      </c>
      <c r="EB239" s="775"/>
      <c r="ED239" s="972"/>
      <c r="EF239" s="775"/>
      <c r="EH239" s="775">
        <f t="shared" si="829"/>
        <v>0</v>
      </c>
      <c r="EJ239" s="775"/>
      <c r="EL239" s="775"/>
      <c r="EN239" s="775">
        <f t="shared" si="830"/>
        <v>0</v>
      </c>
      <c r="EP239" s="776"/>
      <c r="ER239" s="775"/>
      <c r="ET239" s="775">
        <f t="shared" si="831"/>
        <v>0</v>
      </c>
      <c r="EV239" s="775"/>
      <c r="EX239" s="775"/>
      <c r="EZ239" s="775">
        <f t="shared" si="832"/>
        <v>0</v>
      </c>
      <c r="FB239" s="775"/>
      <c r="FD239" s="775"/>
      <c r="FF239" s="775"/>
      <c r="FH239" s="775"/>
      <c r="FJ239" s="775">
        <f t="shared" si="833"/>
        <v>0</v>
      </c>
      <c r="FL239" s="775"/>
      <c r="FN239" s="775"/>
      <c r="FP239" s="775">
        <f t="shared" si="834"/>
        <v>0</v>
      </c>
      <c r="FR239" s="775"/>
      <c r="FT239" s="775"/>
      <c r="FV239" s="775">
        <f t="shared" si="835"/>
        <v>0</v>
      </c>
      <c r="FX239" s="775"/>
      <c r="FZ239" s="775"/>
      <c r="GB239" s="775">
        <f t="shared" si="836"/>
        <v>0</v>
      </c>
      <c r="GD239" s="775"/>
      <c r="GF239" s="775"/>
      <c r="GH239" s="775">
        <v>0</v>
      </c>
      <c r="GK239" s="761">
        <f t="shared" si="837"/>
        <v>0</v>
      </c>
      <c r="GL239" s="973">
        <f t="shared" si="810"/>
        <v>0</v>
      </c>
      <c r="GM239" s="761">
        <f t="shared" si="838"/>
        <v>0</v>
      </c>
      <c r="GN239" s="973"/>
    </row>
    <row r="240" spans="1:196" hidden="1">
      <c r="B240" s="766" t="s">
        <v>511</v>
      </c>
      <c r="J240" s="770">
        <v>209</v>
      </c>
      <c r="K240" s="775"/>
      <c r="M240" s="775"/>
      <c r="O240" s="775">
        <f t="shared" si="811"/>
        <v>0</v>
      </c>
      <c r="Q240" s="775"/>
      <c r="S240" s="775"/>
      <c r="U240" s="775">
        <f t="shared" si="812"/>
        <v>0</v>
      </c>
      <c r="W240" s="776"/>
      <c r="Y240" s="775"/>
      <c r="AA240" s="775">
        <f t="shared" si="813"/>
        <v>0</v>
      </c>
      <c r="AC240" s="775"/>
      <c r="AE240" s="775"/>
      <c r="AG240" s="775">
        <f t="shared" si="814"/>
        <v>0</v>
      </c>
      <c r="AI240" s="775"/>
      <c r="AK240" s="970">
        <v>0</v>
      </c>
      <c r="AM240" s="775"/>
      <c r="AO240" s="775">
        <f t="shared" si="815"/>
        <v>0</v>
      </c>
      <c r="AQ240" s="775"/>
      <c r="AS240" s="775"/>
      <c r="AU240" s="775">
        <f t="shared" si="816"/>
        <v>0</v>
      </c>
      <c r="AW240" s="776"/>
      <c r="AY240" s="775"/>
      <c r="BA240" s="775">
        <f t="shared" si="817"/>
        <v>0</v>
      </c>
      <c r="BC240" s="775"/>
      <c r="BE240" s="775"/>
      <c r="BG240" s="775">
        <f t="shared" si="818"/>
        <v>0</v>
      </c>
      <c r="BI240" s="775"/>
      <c r="BK240" s="775"/>
      <c r="BM240" s="775">
        <f t="shared" si="819"/>
        <v>0</v>
      </c>
      <c r="BO240" s="775"/>
      <c r="BQ240" s="970"/>
      <c r="BS240" s="775"/>
      <c r="BU240" s="986">
        <f t="shared" si="820"/>
        <v>0</v>
      </c>
      <c r="BW240" s="775"/>
      <c r="BZ240" s="970"/>
      <c r="CB240" s="775"/>
      <c r="CD240" s="970"/>
      <c r="CF240" s="775"/>
      <c r="CH240" s="775">
        <f t="shared" si="821"/>
        <v>0</v>
      </c>
      <c r="CJ240" s="775"/>
      <c r="CL240" s="775"/>
      <c r="CN240" s="775">
        <f t="shared" si="822"/>
        <v>0</v>
      </c>
      <c r="CP240" s="775"/>
      <c r="CR240" s="775"/>
      <c r="CT240" s="775">
        <f t="shared" si="823"/>
        <v>0</v>
      </c>
      <c r="CV240" s="775"/>
      <c r="CX240" s="775"/>
      <c r="CZ240" s="775">
        <f t="shared" si="824"/>
        <v>0</v>
      </c>
      <c r="DB240" s="775"/>
      <c r="DD240" s="775"/>
      <c r="DF240" s="775">
        <f t="shared" si="825"/>
        <v>0</v>
      </c>
      <c r="DH240" s="775"/>
      <c r="DJ240" s="775"/>
      <c r="DL240" s="775">
        <f t="shared" si="826"/>
        <v>0</v>
      </c>
      <c r="DN240" s="775"/>
      <c r="DP240" s="775"/>
      <c r="DR240" s="775">
        <f t="shared" si="827"/>
        <v>0</v>
      </c>
      <c r="DT240" s="776"/>
      <c r="DV240" s="971">
        <v>0</v>
      </c>
      <c r="DX240" s="775"/>
      <c r="DZ240" s="775">
        <f t="shared" si="828"/>
        <v>0</v>
      </c>
      <c r="EB240" s="775"/>
      <c r="ED240" s="972"/>
      <c r="EF240" s="775"/>
      <c r="EH240" s="775">
        <f t="shared" si="829"/>
        <v>0</v>
      </c>
      <c r="EJ240" s="775"/>
      <c r="EL240" s="775"/>
      <c r="EN240" s="775">
        <f t="shared" si="830"/>
        <v>0</v>
      </c>
      <c r="EP240" s="776"/>
      <c r="ER240" s="775"/>
      <c r="ET240" s="775">
        <f t="shared" si="831"/>
        <v>0</v>
      </c>
      <c r="EV240" s="776"/>
      <c r="EX240" s="775"/>
      <c r="EZ240" s="775">
        <f t="shared" si="832"/>
        <v>0</v>
      </c>
      <c r="FB240" s="775"/>
      <c r="FD240" s="775"/>
      <c r="FF240" s="775"/>
      <c r="FH240" s="775"/>
      <c r="FJ240" s="775">
        <f t="shared" si="833"/>
        <v>0</v>
      </c>
      <c r="FL240" s="775"/>
      <c r="FN240" s="775"/>
      <c r="FP240" s="775">
        <f t="shared" si="834"/>
        <v>0</v>
      </c>
      <c r="FR240" s="775"/>
      <c r="FT240" s="775"/>
      <c r="FV240" s="775">
        <f t="shared" si="835"/>
        <v>0</v>
      </c>
      <c r="FX240" s="775"/>
      <c r="FZ240" s="775"/>
      <c r="GB240" s="775">
        <f t="shared" si="836"/>
        <v>0</v>
      </c>
      <c r="GD240" s="775"/>
      <c r="GF240" s="775"/>
      <c r="GH240" s="775">
        <v>0</v>
      </c>
      <c r="GK240" s="761">
        <f t="shared" si="837"/>
        <v>0</v>
      </c>
      <c r="GL240" s="973">
        <f t="shared" si="810"/>
        <v>0</v>
      </c>
      <c r="GM240" s="761">
        <f t="shared" si="838"/>
        <v>0</v>
      </c>
      <c r="GN240" s="973"/>
    </row>
    <row r="241" spans="1:196">
      <c r="B241" s="766" t="s">
        <v>41</v>
      </c>
      <c r="I241" s="771"/>
      <c r="J241" s="758">
        <v>210</v>
      </c>
      <c r="K241" s="775"/>
      <c r="M241" s="775"/>
      <c r="O241" s="775">
        <f t="shared" si="811"/>
        <v>0</v>
      </c>
      <c r="Q241" s="775"/>
      <c r="S241" s="775"/>
      <c r="U241" s="775">
        <f t="shared" si="812"/>
        <v>0</v>
      </c>
      <c r="W241" s="775"/>
      <c r="Y241" s="775"/>
      <c r="AA241" s="775">
        <f t="shared" si="813"/>
        <v>0</v>
      </c>
      <c r="AC241" s="775"/>
      <c r="AE241" s="775"/>
      <c r="AG241" s="775">
        <f t="shared" si="814"/>
        <v>0</v>
      </c>
      <c r="AI241" s="775"/>
      <c r="AK241" s="970">
        <v>0</v>
      </c>
      <c r="AM241" s="775"/>
      <c r="AO241" s="775">
        <f t="shared" si="815"/>
        <v>0</v>
      </c>
      <c r="AQ241" s="775"/>
      <c r="AS241" s="775"/>
      <c r="AU241" s="775">
        <f t="shared" si="816"/>
        <v>0</v>
      </c>
      <c r="AW241" s="775"/>
      <c r="AY241" s="775"/>
      <c r="BA241" s="775">
        <f t="shared" si="817"/>
        <v>0</v>
      </c>
      <c r="BC241" s="775"/>
      <c r="BE241" s="775"/>
      <c r="BG241" s="775">
        <f t="shared" si="818"/>
        <v>0</v>
      </c>
      <c r="BI241" s="775"/>
      <c r="BK241" s="775"/>
      <c r="BM241" s="775">
        <f t="shared" si="819"/>
        <v>0</v>
      </c>
      <c r="BO241" s="775"/>
      <c r="BQ241" s="970"/>
      <c r="BS241" s="775"/>
      <c r="BU241" s="986">
        <f t="shared" si="820"/>
        <v>0</v>
      </c>
      <c r="BW241" s="775"/>
      <c r="BZ241" s="970"/>
      <c r="CB241" s="775"/>
      <c r="CD241" s="970"/>
      <c r="CF241" s="775"/>
      <c r="CH241" s="775">
        <f t="shared" si="821"/>
        <v>0</v>
      </c>
      <c r="CJ241" s="775"/>
      <c r="CL241" s="775"/>
      <c r="CN241" s="775">
        <f t="shared" si="822"/>
        <v>0</v>
      </c>
      <c r="CP241" s="775"/>
      <c r="CR241" s="775"/>
      <c r="CT241" s="775">
        <f t="shared" si="823"/>
        <v>0</v>
      </c>
      <c r="CV241" s="775"/>
      <c r="CX241" s="775"/>
      <c r="CZ241" s="775">
        <f t="shared" si="824"/>
        <v>0</v>
      </c>
      <c r="DB241" s="775"/>
      <c r="DD241" s="775"/>
      <c r="DF241" s="775">
        <f t="shared" si="825"/>
        <v>0</v>
      </c>
      <c r="DH241" s="775"/>
      <c r="DJ241" s="775"/>
      <c r="DL241" s="775">
        <f t="shared" si="826"/>
        <v>0</v>
      </c>
      <c r="DN241" s="775"/>
      <c r="DP241" s="775"/>
      <c r="DR241" s="775">
        <f t="shared" si="827"/>
        <v>0</v>
      </c>
      <c r="DT241" s="775"/>
      <c r="DV241" s="971">
        <v>0</v>
      </c>
      <c r="DX241" s="775"/>
      <c r="DZ241" s="775">
        <f t="shared" si="828"/>
        <v>0</v>
      </c>
      <c r="EB241" s="775"/>
      <c r="ED241" s="972"/>
      <c r="EF241" s="775"/>
      <c r="EH241" s="775">
        <f t="shared" si="829"/>
        <v>0</v>
      </c>
      <c r="EJ241" s="775"/>
      <c r="EL241" s="775"/>
      <c r="EN241" s="775">
        <f t="shared" si="830"/>
        <v>0</v>
      </c>
      <c r="EP241" s="776"/>
      <c r="ER241" s="775"/>
      <c r="ET241" s="775">
        <f t="shared" si="831"/>
        <v>0</v>
      </c>
      <c r="EV241" s="776"/>
      <c r="EX241" s="775"/>
      <c r="EZ241" s="775">
        <f t="shared" si="832"/>
        <v>0</v>
      </c>
      <c r="FB241" s="775"/>
      <c r="FD241" s="775"/>
      <c r="FF241" s="775"/>
      <c r="FH241" s="775"/>
      <c r="FJ241" s="775">
        <f t="shared" si="833"/>
        <v>0</v>
      </c>
      <c r="FL241" s="775"/>
      <c r="FN241" s="775"/>
      <c r="FP241" s="775">
        <f t="shared" si="834"/>
        <v>0</v>
      </c>
      <c r="FR241" s="775"/>
      <c r="FT241" s="775"/>
      <c r="FV241" s="775">
        <f t="shared" si="835"/>
        <v>0</v>
      </c>
      <c r="FX241" s="775">
        <v>727615</v>
      </c>
      <c r="FZ241" s="775">
        <v>-727615</v>
      </c>
      <c r="GB241" s="775">
        <f t="shared" si="836"/>
        <v>0</v>
      </c>
      <c r="GD241" s="775"/>
      <c r="GF241" s="775"/>
      <c r="GH241" s="775">
        <v>0</v>
      </c>
      <c r="GK241" s="761">
        <f t="shared" si="837"/>
        <v>0</v>
      </c>
      <c r="GL241" s="973">
        <f t="shared" si="810"/>
        <v>0</v>
      </c>
      <c r="GM241" s="761">
        <f t="shared" si="838"/>
        <v>0</v>
      </c>
      <c r="GN241" s="973"/>
    </row>
    <row r="242" spans="1:196">
      <c r="B242" s="766" t="s">
        <v>42</v>
      </c>
      <c r="J242" s="770">
        <v>211</v>
      </c>
      <c r="K242" s="775"/>
      <c r="M242" s="775"/>
      <c r="O242" s="775">
        <f t="shared" si="811"/>
        <v>0</v>
      </c>
      <c r="Q242" s="775"/>
      <c r="S242" s="775"/>
      <c r="U242" s="775">
        <f t="shared" si="812"/>
        <v>0</v>
      </c>
      <c r="W242" s="775"/>
      <c r="Y242" s="775"/>
      <c r="AA242" s="775">
        <f t="shared" si="813"/>
        <v>0</v>
      </c>
      <c r="AC242" s="775"/>
      <c r="AE242" s="775"/>
      <c r="AG242" s="775">
        <f t="shared" si="814"/>
        <v>0</v>
      </c>
      <c r="AI242" s="775"/>
      <c r="AK242" s="970">
        <v>0</v>
      </c>
      <c r="AM242" s="775"/>
      <c r="AO242" s="775">
        <f t="shared" si="815"/>
        <v>0</v>
      </c>
      <c r="AQ242" s="775"/>
      <c r="AS242" s="775"/>
      <c r="AU242" s="775">
        <f t="shared" si="816"/>
        <v>0</v>
      </c>
      <c r="AW242" s="775"/>
      <c r="AY242" s="775"/>
      <c r="BA242" s="775">
        <f t="shared" si="817"/>
        <v>0</v>
      </c>
      <c r="BC242" s="775"/>
      <c r="BE242" s="775"/>
      <c r="BG242" s="775">
        <f t="shared" si="818"/>
        <v>0</v>
      </c>
      <c r="BI242" s="775"/>
      <c r="BK242" s="775"/>
      <c r="BM242" s="775">
        <f t="shared" si="819"/>
        <v>0</v>
      </c>
      <c r="BO242" s="775"/>
      <c r="BQ242" s="970"/>
      <c r="BS242" s="775"/>
      <c r="BU242" s="986">
        <f t="shared" si="820"/>
        <v>0</v>
      </c>
      <c r="BW242" s="776"/>
      <c r="BZ242" s="970"/>
      <c r="CB242" s="775"/>
      <c r="CD242" s="970"/>
      <c r="CF242" s="775"/>
      <c r="CH242" s="775">
        <f t="shared" si="821"/>
        <v>0</v>
      </c>
      <c r="CJ242" s="775"/>
      <c r="CL242" s="775"/>
      <c r="CN242" s="775">
        <f t="shared" si="822"/>
        <v>0</v>
      </c>
      <c r="CP242" s="775"/>
      <c r="CR242" s="775"/>
      <c r="CT242" s="775">
        <f t="shared" si="823"/>
        <v>0</v>
      </c>
      <c r="CV242" s="775"/>
      <c r="CX242" s="775"/>
      <c r="CZ242" s="775">
        <f t="shared" si="824"/>
        <v>0</v>
      </c>
      <c r="DB242" s="775"/>
      <c r="DD242" s="775"/>
      <c r="DF242" s="775">
        <f t="shared" si="825"/>
        <v>0</v>
      </c>
      <c r="DH242" s="775"/>
      <c r="DJ242" s="775"/>
      <c r="DL242" s="775">
        <f t="shared" si="826"/>
        <v>0</v>
      </c>
      <c r="DN242" s="775"/>
      <c r="DP242" s="775"/>
      <c r="DR242" s="775">
        <f t="shared" si="827"/>
        <v>0</v>
      </c>
      <c r="DT242" s="775"/>
      <c r="DV242" s="971">
        <v>0</v>
      </c>
      <c r="DX242" s="775"/>
      <c r="DZ242" s="775">
        <f t="shared" si="828"/>
        <v>0</v>
      </c>
      <c r="EB242" s="775"/>
      <c r="ED242" s="972"/>
      <c r="EF242" s="775"/>
      <c r="EH242" s="775">
        <f t="shared" si="829"/>
        <v>0</v>
      </c>
      <c r="EJ242" s="775"/>
      <c r="EL242" s="775"/>
      <c r="EN242" s="775">
        <f t="shared" si="830"/>
        <v>0</v>
      </c>
      <c r="EP242" s="776"/>
      <c r="ER242" s="775"/>
      <c r="ET242" s="775">
        <f t="shared" si="831"/>
        <v>0</v>
      </c>
      <c r="EV242" s="776"/>
      <c r="EX242" s="775"/>
      <c r="EZ242" s="775">
        <f t="shared" si="832"/>
        <v>0</v>
      </c>
      <c r="FB242" s="775"/>
      <c r="FD242" s="775"/>
      <c r="FF242" s="775"/>
      <c r="FH242" s="775"/>
      <c r="FJ242" s="775">
        <f t="shared" si="833"/>
        <v>0</v>
      </c>
      <c r="FL242" s="775"/>
      <c r="FN242" s="775"/>
      <c r="FP242" s="775">
        <f t="shared" si="834"/>
        <v>0</v>
      </c>
      <c r="FR242" s="775"/>
      <c r="FT242" s="775"/>
      <c r="FV242" s="775">
        <f t="shared" si="835"/>
        <v>0</v>
      </c>
      <c r="FX242" s="775"/>
      <c r="FZ242" s="775"/>
      <c r="GB242" s="775">
        <f t="shared" si="836"/>
        <v>0</v>
      </c>
      <c r="GD242" s="775"/>
      <c r="GF242" s="775"/>
      <c r="GH242" s="775">
        <v>0</v>
      </c>
      <c r="GK242" s="761">
        <f t="shared" si="837"/>
        <v>0</v>
      </c>
      <c r="GL242" s="973">
        <f t="shared" si="810"/>
        <v>0</v>
      </c>
      <c r="GM242" s="761">
        <f t="shared" si="838"/>
        <v>0</v>
      </c>
      <c r="GN242" s="973"/>
    </row>
    <row r="243" spans="1:196" hidden="1">
      <c r="B243" s="758" t="s">
        <v>600</v>
      </c>
      <c r="J243" s="758">
        <v>212</v>
      </c>
      <c r="K243" s="775"/>
      <c r="M243" s="775"/>
      <c r="O243" s="775">
        <f t="shared" si="811"/>
        <v>0</v>
      </c>
      <c r="Q243" s="775"/>
      <c r="S243" s="775"/>
      <c r="U243" s="775">
        <f t="shared" si="812"/>
        <v>0</v>
      </c>
      <c r="W243" s="775"/>
      <c r="Y243" s="775"/>
      <c r="AA243" s="775">
        <f t="shared" si="813"/>
        <v>0</v>
      </c>
      <c r="AC243" s="775"/>
      <c r="AE243" s="775"/>
      <c r="AG243" s="775">
        <f t="shared" si="814"/>
        <v>0</v>
      </c>
      <c r="AI243" s="775"/>
      <c r="AK243" s="970">
        <v>0</v>
      </c>
      <c r="AM243" s="775"/>
      <c r="AO243" s="775">
        <f t="shared" si="815"/>
        <v>0</v>
      </c>
      <c r="AQ243" s="775"/>
      <c r="AS243" s="775"/>
      <c r="AU243" s="775">
        <f t="shared" si="816"/>
        <v>0</v>
      </c>
      <c r="AW243" s="775"/>
      <c r="AY243" s="775"/>
      <c r="BA243" s="775">
        <f t="shared" si="817"/>
        <v>0</v>
      </c>
      <c r="BC243" s="775"/>
      <c r="BE243" s="775"/>
      <c r="BG243" s="775">
        <f t="shared" si="818"/>
        <v>0</v>
      </c>
      <c r="BI243" s="775"/>
      <c r="BK243" s="775"/>
      <c r="BM243" s="775">
        <f t="shared" si="819"/>
        <v>0</v>
      </c>
      <c r="BO243" s="775"/>
      <c r="BQ243" s="970"/>
      <c r="BS243" s="775"/>
      <c r="BU243" s="986">
        <f t="shared" si="820"/>
        <v>0</v>
      </c>
      <c r="BW243" s="775"/>
      <c r="BZ243" s="970"/>
      <c r="CB243" s="775"/>
      <c r="CD243" s="970"/>
      <c r="CF243" s="775"/>
      <c r="CH243" s="775">
        <f t="shared" si="821"/>
        <v>0</v>
      </c>
      <c r="CJ243" s="775"/>
      <c r="CL243" s="775"/>
      <c r="CN243" s="775">
        <f t="shared" si="822"/>
        <v>0</v>
      </c>
      <c r="CP243" s="775"/>
      <c r="CR243" s="775"/>
      <c r="CT243" s="775">
        <f t="shared" si="823"/>
        <v>0</v>
      </c>
      <c r="CV243" s="775"/>
      <c r="CX243" s="775"/>
      <c r="CZ243" s="775">
        <f t="shared" si="824"/>
        <v>0</v>
      </c>
      <c r="DB243" s="775"/>
      <c r="DD243" s="775"/>
      <c r="DF243" s="775">
        <f t="shared" si="825"/>
        <v>0</v>
      </c>
      <c r="DH243" s="775"/>
      <c r="DJ243" s="775"/>
      <c r="DL243" s="775">
        <f t="shared" si="826"/>
        <v>0</v>
      </c>
      <c r="DN243" s="775"/>
      <c r="DP243" s="775"/>
      <c r="DR243" s="775">
        <f t="shared" si="827"/>
        <v>0</v>
      </c>
      <c r="DT243" s="775"/>
      <c r="DV243" s="971">
        <v>0</v>
      </c>
      <c r="DX243" s="775"/>
      <c r="DZ243" s="775">
        <f t="shared" si="828"/>
        <v>0</v>
      </c>
      <c r="EB243" s="775"/>
      <c r="ED243" s="972"/>
      <c r="EF243" s="775"/>
      <c r="EH243" s="775">
        <f t="shared" si="829"/>
        <v>0</v>
      </c>
      <c r="EJ243" s="775"/>
      <c r="EL243" s="775"/>
      <c r="EN243" s="775">
        <f t="shared" si="830"/>
        <v>0</v>
      </c>
      <c r="EP243" s="775"/>
      <c r="ER243" s="775"/>
      <c r="ET243" s="775">
        <f t="shared" si="831"/>
        <v>0</v>
      </c>
      <c r="EV243" s="776"/>
      <c r="EX243" s="775"/>
      <c r="EZ243" s="775">
        <f t="shared" si="832"/>
        <v>0</v>
      </c>
      <c r="FB243" s="775"/>
      <c r="FD243" s="775"/>
      <c r="FF243" s="775"/>
      <c r="FH243" s="775"/>
      <c r="FJ243" s="775">
        <f t="shared" si="833"/>
        <v>0</v>
      </c>
      <c r="FL243" s="775"/>
      <c r="FN243" s="775"/>
      <c r="FP243" s="775">
        <f t="shared" si="834"/>
        <v>0</v>
      </c>
      <c r="FR243" s="775"/>
      <c r="FT243" s="775"/>
      <c r="FV243" s="775">
        <f t="shared" si="835"/>
        <v>0</v>
      </c>
      <c r="FX243" s="775"/>
      <c r="FZ243" s="775"/>
      <c r="GB243" s="775">
        <f t="shared" si="836"/>
        <v>0</v>
      </c>
      <c r="GD243" s="775"/>
      <c r="GF243" s="775"/>
      <c r="GH243" s="775">
        <v>0</v>
      </c>
      <c r="GK243" s="761">
        <f t="shared" si="837"/>
        <v>0</v>
      </c>
      <c r="GL243" s="973">
        <f t="shared" si="810"/>
        <v>0</v>
      </c>
      <c r="GM243" s="761">
        <f t="shared" si="838"/>
        <v>0</v>
      </c>
      <c r="GN243" s="973"/>
    </row>
    <row r="244" spans="1:196" hidden="1">
      <c r="B244" s="758" t="s">
        <v>609</v>
      </c>
      <c r="I244" s="771"/>
      <c r="J244" s="770">
        <v>213</v>
      </c>
      <c r="K244" s="775"/>
      <c r="M244" s="775"/>
      <c r="O244" s="775">
        <f t="shared" si="811"/>
        <v>0</v>
      </c>
      <c r="Q244" s="775"/>
      <c r="S244" s="775"/>
      <c r="U244" s="775">
        <f t="shared" si="812"/>
        <v>0</v>
      </c>
      <c r="W244" s="775"/>
      <c r="Y244" s="775"/>
      <c r="AA244" s="775">
        <f t="shared" si="813"/>
        <v>0</v>
      </c>
      <c r="AC244" s="775"/>
      <c r="AE244" s="775"/>
      <c r="AG244" s="775">
        <f t="shared" si="814"/>
        <v>0</v>
      </c>
      <c r="AI244" s="775"/>
      <c r="AK244" s="970">
        <v>0</v>
      </c>
      <c r="AM244" s="775"/>
      <c r="AO244" s="775">
        <f t="shared" si="815"/>
        <v>0</v>
      </c>
      <c r="AQ244" s="775"/>
      <c r="AS244" s="775"/>
      <c r="AU244" s="775">
        <f t="shared" si="816"/>
        <v>0</v>
      </c>
      <c r="AW244" s="775"/>
      <c r="AY244" s="775"/>
      <c r="BA244" s="775">
        <f t="shared" si="817"/>
        <v>0</v>
      </c>
      <c r="BC244" s="775"/>
      <c r="BE244" s="775"/>
      <c r="BG244" s="775">
        <f t="shared" si="818"/>
        <v>0</v>
      </c>
      <c r="BI244" s="775"/>
      <c r="BK244" s="775"/>
      <c r="BM244" s="775">
        <f t="shared" si="819"/>
        <v>0</v>
      </c>
      <c r="BO244" s="775"/>
      <c r="BQ244" s="970"/>
      <c r="BS244" s="775"/>
      <c r="BU244" s="986">
        <f t="shared" si="820"/>
        <v>0</v>
      </c>
      <c r="BW244" s="775"/>
      <c r="BZ244" s="970"/>
      <c r="CB244" s="775"/>
      <c r="CD244" s="970"/>
      <c r="CF244" s="775"/>
      <c r="CH244" s="775">
        <f t="shared" si="821"/>
        <v>0</v>
      </c>
      <c r="CJ244" s="775"/>
      <c r="CL244" s="775"/>
      <c r="CN244" s="775">
        <f t="shared" si="822"/>
        <v>0</v>
      </c>
      <c r="CP244" s="775"/>
      <c r="CR244" s="775"/>
      <c r="CT244" s="775">
        <f t="shared" si="823"/>
        <v>0</v>
      </c>
      <c r="CV244" s="775"/>
      <c r="CX244" s="775"/>
      <c r="CZ244" s="775">
        <f t="shared" si="824"/>
        <v>0</v>
      </c>
      <c r="DB244" s="775"/>
      <c r="DD244" s="775"/>
      <c r="DF244" s="775">
        <f t="shared" si="825"/>
        <v>0</v>
      </c>
      <c r="DH244" s="775"/>
      <c r="DJ244" s="775"/>
      <c r="DL244" s="775">
        <f t="shared" si="826"/>
        <v>0</v>
      </c>
      <c r="DN244" s="775"/>
      <c r="DP244" s="775"/>
      <c r="DR244" s="775">
        <f t="shared" si="827"/>
        <v>0</v>
      </c>
      <c r="DT244" s="775"/>
      <c r="DV244" s="971">
        <v>0</v>
      </c>
      <c r="DX244" s="775"/>
      <c r="DZ244" s="775">
        <f t="shared" si="828"/>
        <v>0</v>
      </c>
      <c r="EB244" s="775"/>
      <c r="ED244" s="972"/>
      <c r="EF244" s="775"/>
      <c r="EH244" s="775">
        <f t="shared" si="829"/>
        <v>0</v>
      </c>
      <c r="EJ244" s="775"/>
      <c r="EL244" s="775"/>
      <c r="EN244" s="775">
        <f t="shared" si="830"/>
        <v>0</v>
      </c>
      <c r="EP244" s="775"/>
      <c r="ER244" s="775"/>
      <c r="ET244" s="775">
        <f t="shared" si="831"/>
        <v>0</v>
      </c>
      <c r="EV244" s="776"/>
      <c r="EX244" s="775"/>
      <c r="EZ244" s="775">
        <f t="shared" si="832"/>
        <v>0</v>
      </c>
      <c r="FB244" s="775"/>
      <c r="FD244" s="775"/>
      <c r="FF244" s="775"/>
      <c r="FH244" s="775"/>
      <c r="FJ244" s="775">
        <f t="shared" si="833"/>
        <v>0</v>
      </c>
      <c r="FL244" s="775"/>
      <c r="FN244" s="775"/>
      <c r="FP244" s="775">
        <f t="shared" si="834"/>
        <v>0</v>
      </c>
      <c r="FR244" s="775"/>
      <c r="FT244" s="775"/>
      <c r="FV244" s="775">
        <f t="shared" si="835"/>
        <v>0</v>
      </c>
      <c r="FX244" s="775"/>
      <c r="FZ244" s="775"/>
      <c r="GB244" s="775">
        <f t="shared" si="836"/>
        <v>0</v>
      </c>
      <c r="GD244" s="775"/>
      <c r="GF244" s="775"/>
      <c r="GH244" s="775">
        <v>0</v>
      </c>
      <c r="GK244" s="761">
        <f t="shared" si="837"/>
        <v>0</v>
      </c>
      <c r="GL244" s="973">
        <f t="shared" si="810"/>
        <v>0</v>
      </c>
      <c r="GM244" s="761">
        <f t="shared" si="838"/>
        <v>0</v>
      </c>
      <c r="GN244" s="973"/>
    </row>
    <row r="245" spans="1:196">
      <c r="B245" s="758" t="s">
        <v>1620</v>
      </c>
      <c r="J245" s="758">
        <v>214</v>
      </c>
      <c r="K245" s="775"/>
      <c r="M245" s="775"/>
      <c r="O245" s="775">
        <f t="shared" si="811"/>
        <v>0</v>
      </c>
      <c r="Q245" s="775"/>
      <c r="S245" s="775"/>
      <c r="U245" s="775">
        <f t="shared" si="812"/>
        <v>0</v>
      </c>
      <c r="W245" s="775"/>
      <c r="Y245" s="775"/>
      <c r="AA245" s="775">
        <f t="shared" si="813"/>
        <v>0</v>
      </c>
      <c r="AC245" s="775"/>
      <c r="AE245" s="775"/>
      <c r="AG245" s="775">
        <f t="shared" si="814"/>
        <v>0</v>
      </c>
      <c r="AI245" s="775"/>
      <c r="AK245" s="970">
        <v>0</v>
      </c>
      <c r="AM245" s="775"/>
      <c r="AO245" s="775">
        <f t="shared" si="815"/>
        <v>0</v>
      </c>
      <c r="AQ245" s="775"/>
      <c r="AS245" s="775"/>
      <c r="AU245" s="775">
        <f t="shared" si="816"/>
        <v>0</v>
      </c>
      <c r="AW245" s="775"/>
      <c r="AY245" s="775"/>
      <c r="BA245" s="775">
        <f t="shared" si="817"/>
        <v>0</v>
      </c>
      <c r="BC245" s="775"/>
      <c r="BE245" s="775"/>
      <c r="BG245" s="775">
        <f t="shared" si="818"/>
        <v>0</v>
      </c>
      <c r="BI245" s="775"/>
      <c r="BK245" s="775"/>
      <c r="BM245" s="775">
        <f t="shared" si="819"/>
        <v>0</v>
      </c>
      <c r="BO245" s="775"/>
      <c r="BQ245" s="970"/>
      <c r="BS245" s="775"/>
      <c r="BU245" s="986">
        <f t="shared" si="820"/>
        <v>0</v>
      </c>
      <c r="BW245" s="775"/>
      <c r="BZ245" s="970"/>
      <c r="CB245" s="775"/>
      <c r="CD245" s="970"/>
      <c r="CF245" s="775"/>
      <c r="CH245" s="775">
        <f t="shared" si="821"/>
        <v>0</v>
      </c>
      <c r="CJ245" s="775"/>
      <c r="CL245" s="775"/>
      <c r="CN245" s="775">
        <f t="shared" si="822"/>
        <v>0</v>
      </c>
      <c r="CP245" s="775"/>
      <c r="CR245" s="775"/>
      <c r="CT245" s="775">
        <f t="shared" si="823"/>
        <v>0</v>
      </c>
      <c r="CV245" s="775"/>
      <c r="CX245" s="775">
        <v>218907</v>
      </c>
      <c r="CZ245" s="775">
        <f t="shared" si="824"/>
        <v>218907</v>
      </c>
      <c r="DB245" s="775"/>
      <c r="DD245" s="775"/>
      <c r="DF245" s="775">
        <f t="shared" si="825"/>
        <v>0</v>
      </c>
      <c r="DH245" s="776">
        <v>889214</v>
      </c>
      <c r="DJ245" s="775"/>
      <c r="DL245" s="775">
        <f t="shared" si="826"/>
        <v>889214</v>
      </c>
      <c r="DN245" s="775">
        <v>23842</v>
      </c>
      <c r="DP245" s="775">
        <v>2068756</v>
      </c>
      <c r="DR245" s="775">
        <f t="shared" si="827"/>
        <v>2092598</v>
      </c>
      <c r="DT245" s="775"/>
      <c r="DV245" s="971">
        <v>0</v>
      </c>
      <c r="DX245" s="775"/>
      <c r="DZ245" s="775">
        <f t="shared" si="828"/>
        <v>0</v>
      </c>
      <c r="EB245" s="775"/>
      <c r="ED245" s="972"/>
      <c r="EF245" s="775"/>
      <c r="EH245" s="775">
        <f t="shared" si="829"/>
        <v>0</v>
      </c>
      <c r="EJ245" s="775"/>
      <c r="EL245" s="775"/>
      <c r="EN245" s="775">
        <f t="shared" si="830"/>
        <v>0</v>
      </c>
      <c r="EP245" s="775"/>
      <c r="ER245" s="775"/>
      <c r="ET245" s="775">
        <f t="shared" si="831"/>
        <v>0</v>
      </c>
      <c r="EV245" s="775"/>
      <c r="EX245" s="775"/>
      <c r="EZ245" s="775">
        <f t="shared" si="832"/>
        <v>0</v>
      </c>
      <c r="FB245" s="775"/>
      <c r="FD245" s="775"/>
      <c r="FF245" s="775"/>
      <c r="FH245" s="775"/>
      <c r="FJ245" s="775">
        <f t="shared" si="833"/>
        <v>0</v>
      </c>
      <c r="FL245" s="775"/>
      <c r="FN245" s="775"/>
      <c r="FP245" s="775">
        <f t="shared" si="834"/>
        <v>0</v>
      </c>
      <c r="FR245" s="775"/>
      <c r="FT245" s="775"/>
      <c r="FV245" s="775">
        <f t="shared" si="835"/>
        <v>0</v>
      </c>
      <c r="FX245" s="775">
        <v>9187296</v>
      </c>
      <c r="FZ245" s="775">
        <v>319240</v>
      </c>
      <c r="GB245" s="775">
        <f t="shared" si="836"/>
        <v>9506536</v>
      </c>
      <c r="GD245" s="775"/>
      <c r="GF245" s="775"/>
      <c r="GH245" s="775">
        <v>0</v>
      </c>
      <c r="GK245" s="761">
        <f t="shared" si="837"/>
        <v>12707255</v>
      </c>
      <c r="GL245" s="973">
        <f t="shared" si="810"/>
        <v>12707.254999999999</v>
      </c>
      <c r="GM245" s="761">
        <f t="shared" si="838"/>
        <v>0</v>
      </c>
      <c r="GN245" s="973"/>
    </row>
    <row r="246" spans="1:196">
      <c r="B246" s="920" t="s">
        <v>202</v>
      </c>
      <c r="I246" s="758" t="s">
        <v>1621</v>
      </c>
      <c r="J246" s="770">
        <v>215</v>
      </c>
      <c r="K246" s="788"/>
      <c r="M246" s="788"/>
      <c r="O246" s="788"/>
      <c r="Q246" s="788"/>
      <c r="S246" s="788"/>
      <c r="U246" s="788"/>
      <c r="W246" s="788"/>
      <c r="Y246" s="788"/>
      <c r="AA246" s="788"/>
      <c r="AC246" s="788"/>
      <c r="AE246" s="788"/>
      <c r="AG246" s="788"/>
      <c r="AI246" s="788"/>
      <c r="AK246" s="970">
        <v>0</v>
      </c>
      <c r="AM246" s="788"/>
      <c r="AO246" s="788"/>
      <c r="AQ246" s="788"/>
      <c r="AS246" s="788"/>
      <c r="AU246" s="788"/>
      <c r="AW246" s="788"/>
      <c r="AY246" s="788"/>
      <c r="BA246" s="788"/>
      <c r="BC246" s="788"/>
      <c r="BE246" s="788"/>
      <c r="BG246" s="788"/>
      <c r="BI246" s="788"/>
      <c r="BK246" s="788"/>
      <c r="BM246" s="788"/>
      <c r="BO246" s="788"/>
      <c r="BQ246" s="970"/>
      <c r="BS246" s="788"/>
      <c r="BU246" s="788"/>
      <c r="BW246" s="788"/>
      <c r="BZ246" s="970"/>
      <c r="CB246" s="775"/>
      <c r="CD246" s="970"/>
      <c r="CF246" s="788"/>
      <c r="CH246" s="788"/>
      <c r="CJ246" s="788"/>
      <c r="CL246" s="788"/>
      <c r="CN246" s="788"/>
      <c r="CP246" s="788"/>
      <c r="CR246" s="788"/>
      <c r="CT246" s="788"/>
      <c r="CV246" s="788"/>
      <c r="CX246" s="788"/>
      <c r="CZ246" s="788"/>
      <c r="DB246" s="788"/>
      <c r="DD246" s="788"/>
      <c r="DF246" s="788"/>
      <c r="DH246" s="788"/>
      <c r="DJ246" s="788"/>
      <c r="DL246" s="788"/>
      <c r="DN246" s="788"/>
      <c r="DP246" s="788"/>
      <c r="DR246" s="788"/>
      <c r="DT246" s="788"/>
      <c r="DV246" s="971">
        <v>0</v>
      </c>
      <c r="DX246" s="788"/>
      <c r="DZ246" s="788"/>
      <c r="EB246" s="788"/>
      <c r="ED246" s="972"/>
      <c r="EF246" s="788"/>
      <c r="EH246" s="788"/>
      <c r="EJ246" s="788"/>
      <c r="EL246" s="788"/>
      <c r="EN246" s="788"/>
      <c r="EP246" s="788"/>
      <c r="ER246" s="788"/>
      <c r="ET246" s="788"/>
      <c r="EV246" s="788"/>
      <c r="EX246" s="788"/>
      <c r="EZ246" s="788"/>
      <c r="FB246" s="775"/>
      <c r="FD246" s="775"/>
      <c r="FF246" s="788"/>
      <c r="FH246" s="788"/>
      <c r="FJ246" s="788"/>
      <c r="FL246" s="788"/>
      <c r="FN246" s="788"/>
      <c r="FP246" s="788"/>
      <c r="FR246" s="788"/>
      <c r="FT246" s="788"/>
      <c r="FV246" s="788"/>
      <c r="FX246" s="788"/>
      <c r="FZ246" s="788"/>
      <c r="GB246" s="788"/>
      <c r="GD246" s="788"/>
      <c r="GF246" s="788"/>
      <c r="GH246" s="788"/>
      <c r="GK246" s="761">
        <f t="shared" si="837"/>
        <v>0</v>
      </c>
      <c r="GL246" s="973">
        <f t="shared" si="810"/>
        <v>0</v>
      </c>
      <c r="GN246" s="973"/>
    </row>
    <row r="247" spans="1:196">
      <c r="C247" s="758" t="s">
        <v>599</v>
      </c>
      <c r="I247" s="771"/>
      <c r="J247" s="758">
        <v>216</v>
      </c>
      <c r="K247" s="777">
        <f>SUM(K233:K246)</f>
        <v>-1015658</v>
      </c>
      <c r="M247" s="777">
        <f>SUM(M233:M246)</f>
        <v>0</v>
      </c>
      <c r="O247" s="777">
        <f>SUM(O233:O246)</f>
        <v>-1015658</v>
      </c>
      <c r="Q247" s="777">
        <f>SUM(Q233:Q246)</f>
        <v>6535894</v>
      </c>
      <c r="S247" s="777">
        <f>SUM(S233:S246)</f>
        <v>0</v>
      </c>
      <c r="U247" s="777">
        <f>SUM(U233:U246)</f>
        <v>6535894</v>
      </c>
      <c r="W247" s="777">
        <f>SUM(W233:W246)</f>
        <v>12161029</v>
      </c>
      <c r="Y247" s="777">
        <f>SUM(Y233:Y246)</f>
        <v>0</v>
      </c>
      <c r="AA247" s="777">
        <f>SUM(AA233:AA246)</f>
        <v>12161029</v>
      </c>
      <c r="AC247" s="777">
        <f>SUM(AC233:AC246)</f>
        <v>15996302</v>
      </c>
      <c r="AE247" s="777">
        <f>SUM(AE233:AE246)</f>
        <v>3698</v>
      </c>
      <c r="AG247" s="777">
        <f>SUM(AG233:AG246)</f>
        <v>16000000</v>
      </c>
      <c r="AI247" s="777">
        <f>SUM(AI233:AI246)</f>
        <v>51468874</v>
      </c>
      <c r="AK247" s="974">
        <f>SUM(AK233:AK246)</f>
        <v>0</v>
      </c>
      <c r="AM247" s="777">
        <f>SUM(AM233:AM246)</f>
        <v>0</v>
      </c>
      <c r="AO247" s="777">
        <f>SUM(AO233:AO246)</f>
        <v>51468874</v>
      </c>
      <c r="AQ247" s="777">
        <f>SUM(AQ233:AQ246)</f>
        <v>0</v>
      </c>
      <c r="AS247" s="777">
        <f>SUM(AS233:AS246)</f>
        <v>0</v>
      </c>
      <c r="AU247" s="777">
        <f>SUM(AU233:AU246)</f>
        <v>0</v>
      </c>
      <c r="AW247" s="777">
        <f>SUM(AW233:AW246)</f>
        <v>1779444</v>
      </c>
      <c r="AY247" s="777">
        <f>SUM(AY233:AY246)</f>
        <v>0</v>
      </c>
      <c r="BA247" s="777">
        <f>SUM(BA233:BA246)</f>
        <v>1779444</v>
      </c>
      <c r="BC247" s="777">
        <f>SUM(BC233:BC246)</f>
        <v>29031687</v>
      </c>
      <c r="BE247" s="777">
        <f>SUM(BE233:BE246)</f>
        <v>0</v>
      </c>
      <c r="BG247" s="777">
        <f>SUM(BG233:BG246)</f>
        <v>29031687</v>
      </c>
      <c r="BI247" s="777">
        <f>SUM(BI233:BI246)</f>
        <v>-2350035</v>
      </c>
      <c r="BK247" s="777">
        <f>SUM(BK233:BK246)</f>
        <v>0</v>
      </c>
      <c r="BM247" s="777">
        <f>SUM(BM233:BM246)</f>
        <v>-2350035</v>
      </c>
      <c r="BO247" s="777">
        <f>SUM(BO233:BO246)</f>
        <v>296643</v>
      </c>
      <c r="BQ247" s="974">
        <f>SUM(BQ233:BQ246)</f>
        <v>0</v>
      </c>
      <c r="BS247" s="777">
        <f>SUM(BS233:BS246)</f>
        <v>0</v>
      </c>
      <c r="BU247" s="777">
        <f>SUM(BU233:BU246)</f>
        <v>296643</v>
      </c>
      <c r="BW247" s="777">
        <f>SUM(BW233:BW246)</f>
        <v>7553948</v>
      </c>
      <c r="BZ247" s="974">
        <f>SUM(BZ233:BZ246)</f>
        <v>0</v>
      </c>
      <c r="CB247" s="777">
        <f>SUM(CB233:CB246)</f>
        <v>0</v>
      </c>
      <c r="CD247" s="974">
        <f>SUM(CD233:CD246)</f>
        <v>0</v>
      </c>
      <c r="CF247" s="777">
        <f>SUM(CF233:CF246)</f>
        <v>0</v>
      </c>
      <c r="CH247" s="777">
        <f>SUM(CH233:CH246)</f>
        <v>7553948</v>
      </c>
      <c r="CJ247" s="777">
        <f>SUM(CJ233:CJ246)</f>
        <v>1322</v>
      </c>
      <c r="CL247" s="777">
        <f>SUM(CL233:CL246)</f>
        <v>0</v>
      </c>
      <c r="CN247" s="777">
        <f>SUM(CN233:CN246)</f>
        <v>1322</v>
      </c>
      <c r="CP247" s="777">
        <f>SUM(CP233:CP246)</f>
        <v>1752512</v>
      </c>
      <c r="CR247" s="777">
        <f>SUM(CR233:CR246)</f>
        <v>0</v>
      </c>
      <c r="CT247" s="777">
        <f>SUM(CT233:CT246)</f>
        <v>1752512</v>
      </c>
      <c r="CV247" s="777">
        <f>SUM(CV233:CV246)</f>
        <v>182481</v>
      </c>
      <c r="CX247" s="777">
        <f>SUM(CX233:CX246)</f>
        <v>218907</v>
      </c>
      <c r="CZ247" s="777">
        <f>SUM(CZ233:CZ246)</f>
        <v>401388</v>
      </c>
      <c r="DB247" s="777">
        <f>SUM(DB233:DB246)</f>
        <v>8083000</v>
      </c>
      <c r="DD247" s="777">
        <f>SUM(DD233:DD246)</f>
        <v>0</v>
      </c>
      <c r="DF247" s="777">
        <f>SUM(DF233:DF246)</f>
        <v>8083000</v>
      </c>
      <c r="DH247" s="777">
        <f>SUM(DH233:DH246)</f>
        <v>1599754</v>
      </c>
      <c r="DJ247" s="777">
        <f>SUM(DJ233:DJ246)</f>
        <v>0</v>
      </c>
      <c r="DL247" s="777">
        <f>SUM(DL233:DL246)</f>
        <v>1599754</v>
      </c>
      <c r="DN247" s="777">
        <f>SUM(DN233:DN246)</f>
        <v>1942277</v>
      </c>
      <c r="DP247" s="777">
        <f>SUM(DP233:DP246)</f>
        <v>2068756</v>
      </c>
      <c r="DR247" s="777">
        <f>SUM(DR233:DR246)</f>
        <v>4011033</v>
      </c>
      <c r="DT247" s="777">
        <f>SUM(DT233:DT246)</f>
        <v>909205</v>
      </c>
      <c r="DV247" s="975">
        <f>SUM(DV233:DV246)</f>
        <v>0</v>
      </c>
      <c r="DX247" s="777">
        <f>SUM(DX233:DX246)</f>
        <v>0</v>
      </c>
      <c r="DZ247" s="777">
        <f>SUM(DZ233:DZ246)</f>
        <v>909205</v>
      </c>
      <c r="EB247" s="777">
        <f>SUM(EB233:EB246)</f>
        <v>55008999</v>
      </c>
      <c r="ED247" s="976">
        <f>SUM(ED233:ED246)</f>
        <v>0</v>
      </c>
      <c r="EF247" s="777">
        <f>SUM(EF233:EF246)</f>
        <v>0</v>
      </c>
      <c r="EH247" s="777">
        <f>SUM(EH233:EH246)</f>
        <v>55008999</v>
      </c>
      <c r="EJ247" s="777">
        <f>SUM(EJ233:EJ246)</f>
        <v>0</v>
      </c>
      <c r="EL247" s="777">
        <f>SUM(EL233:EL246)</f>
        <v>0</v>
      </c>
      <c r="EN247" s="777">
        <f>SUM(EN233:EN246)</f>
        <v>0</v>
      </c>
      <c r="EP247" s="777">
        <f>SUM(EP233:EP246)</f>
        <v>18252535</v>
      </c>
      <c r="ER247" s="777">
        <f>SUM(ER233:ER246)</f>
        <v>0</v>
      </c>
      <c r="ET247" s="777">
        <f>SUM(ET233:ET246)</f>
        <v>18252535</v>
      </c>
      <c r="EV247" s="777">
        <f>SUM(EV233:EV246)</f>
        <v>84729110</v>
      </c>
      <c r="EX247" s="777">
        <f>SUM(EX233:EX246)</f>
        <v>0</v>
      </c>
      <c r="EZ247" s="777">
        <f>SUM(EZ233:EZ246)</f>
        <v>84729110</v>
      </c>
      <c r="FB247" s="777">
        <f>SUM(FB233:FB246)</f>
        <v>0</v>
      </c>
      <c r="FD247" s="777">
        <f>SUM(FD233:FD246)</f>
        <v>0</v>
      </c>
      <c r="FF247" s="777">
        <f>SUM(FF233:FF246)</f>
        <v>10001171</v>
      </c>
      <c r="FH247" s="777">
        <f>SUM(FH233:FH246)</f>
        <v>0</v>
      </c>
      <c r="FJ247" s="777">
        <f>SUM(FJ233:FJ246)</f>
        <v>10001171</v>
      </c>
      <c r="FL247" s="777">
        <f>SUM(FL233:FL246)</f>
        <v>54102275</v>
      </c>
      <c r="FN247" s="777">
        <f>SUM(FN233:FN246)</f>
        <v>0</v>
      </c>
      <c r="FP247" s="777">
        <f>SUM(FP233:FP246)</f>
        <v>54102275</v>
      </c>
      <c r="FR247" s="777">
        <f>SUM(FR233:FR246)</f>
        <v>214451229</v>
      </c>
      <c r="FT247" s="777">
        <f>SUM(FT233:FT246)</f>
        <v>0</v>
      </c>
      <c r="FV247" s="777">
        <f>SUM(FV233:FV246)</f>
        <v>214451229</v>
      </c>
      <c r="FX247" s="777">
        <f>SUM(FX233:FX246)</f>
        <v>22660438</v>
      </c>
      <c r="FZ247" s="777">
        <f>SUM(FZ233:FZ246)</f>
        <v>3547031</v>
      </c>
      <c r="GB247" s="777">
        <f>SUM(GB233:GB246)</f>
        <v>26207469</v>
      </c>
      <c r="GD247" s="777">
        <v>562373128</v>
      </c>
      <c r="GF247" s="777">
        <v>0</v>
      </c>
      <c r="GH247" s="777">
        <v>562373128</v>
      </c>
      <c r="GK247" s="761">
        <f t="shared" si="837"/>
        <v>600972828</v>
      </c>
      <c r="GL247" s="973">
        <f t="shared" si="810"/>
        <v>600972.82799999998</v>
      </c>
      <c r="GM247" s="761">
        <f>O247+U247+AA247+AG247+AO247+BA247+BG247+BM247+BU247+CH247+CN247+CT247+DF247+DZ247+EH247+EN247+ET247+EZ247+FJ247+FP247+FV247</f>
        <v>568753184</v>
      </c>
      <c r="GN247" s="973"/>
    </row>
    <row r="248" spans="1:196">
      <c r="J248" s="770">
        <v>217</v>
      </c>
      <c r="BQ248" s="952"/>
      <c r="BW248" s="761"/>
      <c r="BZ248" s="952"/>
      <c r="CB248" s="761"/>
      <c r="CD248" s="952"/>
      <c r="CP248" s="761"/>
      <c r="CV248" s="761"/>
      <c r="DB248" s="761"/>
      <c r="DH248" s="761"/>
      <c r="DN248" s="761"/>
      <c r="DT248" s="761"/>
      <c r="DV248" s="977"/>
      <c r="EB248" s="761"/>
      <c r="ED248" s="978"/>
      <c r="EJ248" s="761"/>
      <c r="EP248" s="761"/>
      <c r="EV248" s="761"/>
      <c r="FB248" s="761"/>
      <c r="FD248" s="761"/>
      <c r="GL248" s="973">
        <f t="shared" si="810"/>
        <v>0</v>
      </c>
      <c r="GN248" s="973"/>
    </row>
    <row r="249" spans="1:196">
      <c r="A249" s="766" t="s">
        <v>736</v>
      </c>
      <c r="J249" s="758">
        <v>218</v>
      </c>
      <c r="K249" s="785">
        <f>K229+K247</f>
        <v>-1384520</v>
      </c>
      <c r="M249" s="785">
        <f>M229+M247</f>
        <v>0</v>
      </c>
      <c r="O249" s="785">
        <f>O229+O247</f>
        <v>-1384520</v>
      </c>
      <c r="Q249" s="785">
        <f>Q229+Q247</f>
        <v>-2005052</v>
      </c>
      <c r="S249" s="785">
        <f>S229+S247</f>
        <v>-468744</v>
      </c>
      <c r="U249" s="785">
        <f>U229+U247</f>
        <v>-2473796</v>
      </c>
      <c r="W249" s="785">
        <f>W229+W247</f>
        <v>-337075</v>
      </c>
      <c r="Y249" s="785">
        <f>Y229+Y247</f>
        <v>8018</v>
      </c>
      <c r="AA249" s="785">
        <f>AA229+AA247</f>
        <v>-329057</v>
      </c>
      <c r="AC249" s="785">
        <f>AC229+AC247</f>
        <v>6375096</v>
      </c>
      <c r="AE249" s="785">
        <f>AE229+AE247</f>
        <v>-2531</v>
      </c>
      <c r="AG249" s="785">
        <f>AG229+AG247</f>
        <v>6372565</v>
      </c>
      <c r="AI249" s="785">
        <f>AI229+AI247</f>
        <v>2045155</v>
      </c>
      <c r="AK249" s="987">
        <f>AK229+AK247</f>
        <v>0</v>
      </c>
      <c r="AM249" s="785">
        <f>AM229+AM247</f>
        <v>0</v>
      </c>
      <c r="AO249" s="785">
        <f>AO229+AO247</f>
        <v>2045155</v>
      </c>
      <c r="AQ249" s="785">
        <f>AQ229+AQ247</f>
        <v>0</v>
      </c>
      <c r="AS249" s="785">
        <f>AS229+AS247</f>
        <v>0</v>
      </c>
      <c r="AU249" s="785">
        <f>AU229+AU247</f>
        <v>0</v>
      </c>
      <c r="AW249" s="785">
        <f>AW229+AW247</f>
        <v>54672341</v>
      </c>
      <c r="AY249" s="785">
        <f>AY229+AY247</f>
        <v>439775</v>
      </c>
      <c r="BA249" s="785">
        <f>BA229+BA247</f>
        <v>55112116</v>
      </c>
      <c r="BC249" s="785">
        <f>BC229+BC247</f>
        <v>-16757334</v>
      </c>
      <c r="BE249" s="785">
        <f>BE229+BE247</f>
        <v>0</v>
      </c>
      <c r="BG249" s="785">
        <f>BG229+BG247</f>
        <v>-16757334</v>
      </c>
      <c r="BI249" s="785">
        <f>BI229+BI247</f>
        <v>-20354066</v>
      </c>
      <c r="BK249" s="785">
        <f>BK229+BK247</f>
        <v>-648773</v>
      </c>
      <c r="BM249" s="785">
        <f>BM229+BM247</f>
        <v>-21002839</v>
      </c>
      <c r="BO249" s="785">
        <f>BO229+BO247</f>
        <v>-253761</v>
      </c>
      <c r="BQ249" s="987">
        <f>BQ229+BQ247</f>
        <v>0</v>
      </c>
      <c r="BS249" s="785">
        <f>BS229+BS247</f>
        <v>0</v>
      </c>
      <c r="BU249" s="785">
        <f>BU229+BU247</f>
        <v>-253761</v>
      </c>
      <c r="BW249" s="785">
        <f>BW229+BW247</f>
        <v>493281</v>
      </c>
      <c r="BZ249" s="987">
        <f>BZ229+BZ247</f>
        <v>0</v>
      </c>
      <c r="CB249" s="785">
        <f>CB229+CB247</f>
        <v>0</v>
      </c>
      <c r="CD249" s="987">
        <f>CD229+CD247</f>
        <v>0</v>
      </c>
      <c r="CF249" s="785">
        <f>CF229+CF247</f>
        <v>0</v>
      </c>
      <c r="CH249" s="785">
        <f>CH229+CH247</f>
        <v>493281</v>
      </c>
      <c r="CJ249" s="785">
        <f>CJ229+CJ247</f>
        <v>485203</v>
      </c>
      <c r="CL249" s="785">
        <f>CL229+CL247</f>
        <v>0</v>
      </c>
      <c r="CN249" s="785">
        <f>CN229+CN247</f>
        <v>485203</v>
      </c>
      <c r="CP249" s="785">
        <f>CP229+CP247</f>
        <v>244027</v>
      </c>
      <c r="CR249" s="785">
        <f>CR229+CR247</f>
        <v>22039</v>
      </c>
      <c r="CT249" s="785">
        <f>CT229+CT247</f>
        <v>266066</v>
      </c>
      <c r="CV249" s="785">
        <f>CV229+CV247</f>
        <v>-2924610</v>
      </c>
      <c r="CX249" s="785">
        <f>CX229+CX247</f>
        <v>0</v>
      </c>
      <c r="CZ249" s="785">
        <f>CZ229+CZ247</f>
        <v>-2924610</v>
      </c>
      <c r="DB249" s="785">
        <f>DB229+DB247</f>
        <v>117538000</v>
      </c>
      <c r="DD249" s="785">
        <f>DD229+DD247</f>
        <v>0</v>
      </c>
      <c r="DF249" s="785">
        <f>DF229+DF247</f>
        <v>117538000</v>
      </c>
      <c r="DH249" s="785">
        <f>DH229+DH247</f>
        <v>104674</v>
      </c>
      <c r="DJ249" s="785">
        <f>DJ229+DJ247</f>
        <v>0</v>
      </c>
      <c r="DL249" s="785">
        <f>DL229+DL247</f>
        <v>104674</v>
      </c>
      <c r="DN249" s="785">
        <f>DN229+DN247</f>
        <v>252080</v>
      </c>
      <c r="DP249" s="785">
        <f>DP229+DP247</f>
        <v>0</v>
      </c>
      <c r="DR249" s="785">
        <f>DR229+DR247</f>
        <v>252080</v>
      </c>
      <c r="DT249" s="785">
        <f>DT229+DT247</f>
        <v>6753830</v>
      </c>
      <c r="DV249" s="988">
        <f>DV229+DV247</f>
        <v>0</v>
      </c>
      <c r="DX249" s="785">
        <f>DX229+DX247</f>
        <v>0</v>
      </c>
      <c r="DZ249" s="785">
        <f>DZ229+DZ247</f>
        <v>6753830</v>
      </c>
      <c r="EB249" s="785">
        <f>EB229+EB247</f>
        <v>28900130</v>
      </c>
      <c r="ED249" s="989">
        <f>ED229+ED247</f>
        <v>0</v>
      </c>
      <c r="EF249" s="785">
        <f>EF229+EF247</f>
        <v>0</v>
      </c>
      <c r="EH249" s="785">
        <f>EH229+EH247</f>
        <v>28900130</v>
      </c>
      <c r="EJ249" s="785">
        <f>EJ229+EJ247</f>
        <v>212260438</v>
      </c>
      <c r="EL249" s="785">
        <f>EL229+EL247</f>
        <v>0</v>
      </c>
      <c r="EN249" s="785">
        <f>EN229+EN247</f>
        <v>212260438</v>
      </c>
      <c r="EP249" s="785">
        <f>EP229+EP247</f>
        <v>37662635</v>
      </c>
      <c r="ER249" s="785">
        <f>ER229+ER247</f>
        <v>0</v>
      </c>
      <c r="ET249" s="785">
        <f>ET229+ET247</f>
        <v>37662635</v>
      </c>
      <c r="EV249" s="785">
        <f>EV229+EV247</f>
        <v>218835474</v>
      </c>
      <c r="EX249" s="785">
        <f>EX229+EX247</f>
        <v>0</v>
      </c>
      <c r="EZ249" s="785">
        <f>EZ229+EZ247</f>
        <v>218835474</v>
      </c>
      <c r="FB249" s="785">
        <f>FB229+FB247</f>
        <v>0</v>
      </c>
      <c r="FD249" s="785">
        <f>FD229+FD247</f>
        <v>0</v>
      </c>
      <c r="FF249" s="785">
        <f>FF229+FF247</f>
        <v>12258177</v>
      </c>
      <c r="FH249" s="785">
        <f>FH229+FH247</f>
        <v>0</v>
      </c>
      <c r="FJ249" s="785">
        <f>FJ229+FJ247</f>
        <v>12258177</v>
      </c>
      <c r="FL249" s="785">
        <f>FL229+FL247</f>
        <v>-3139452</v>
      </c>
      <c r="FN249" s="785">
        <f>FN229+FN247</f>
        <v>-107644</v>
      </c>
      <c r="FP249" s="785">
        <f>FP229+FP247</f>
        <v>-3247096</v>
      </c>
      <c r="FR249" s="785">
        <f>FR229+FR247</f>
        <v>400688566</v>
      </c>
      <c r="FT249" s="785">
        <f>FT229+FT247</f>
        <v>-18000</v>
      </c>
      <c r="FV249" s="785">
        <f>FV229+FV247</f>
        <v>400670566</v>
      </c>
      <c r="FX249" s="785">
        <f>FX229+FX247</f>
        <v>14677282</v>
      </c>
      <c r="FZ249" s="785">
        <f>FZ229+FZ247</f>
        <v>0</v>
      </c>
      <c r="GB249" s="785">
        <f>GB229+GB247</f>
        <v>14677282</v>
      </c>
      <c r="GD249" s="785">
        <v>-225450515</v>
      </c>
      <c r="GF249" s="785">
        <v>0</v>
      </c>
      <c r="GH249" s="785">
        <v>-225450515</v>
      </c>
      <c r="GK249" s="761">
        <f>O249+U249+AA249+AG249+AO249+AU249+BA249+BG249+BM249+BU249+CH249+CN249+CT249+CZ249+DF249+DL249+DR249+DZ249+EH249+EN249+ET249+EZ249+FJ249+FP249+FV249+GB249</f>
        <v>1066314659</v>
      </c>
      <c r="GL249" s="973">
        <f t="shared" si="810"/>
        <v>1066314.659</v>
      </c>
      <c r="GM249" s="761">
        <f>O249+U249+AA249+AG249+AO249+BA249+BG249+BM249+BU249+CH249+CN249+CT249+DF249+DZ249+EH249+EN249+ET249+EZ249+FJ249+FP249+FV249</f>
        <v>1054205233</v>
      </c>
      <c r="GN249" s="973"/>
    </row>
    <row r="250" spans="1:196">
      <c r="I250" s="771"/>
      <c r="J250" s="770">
        <v>219</v>
      </c>
      <c r="BQ250" s="952"/>
      <c r="BW250" s="761"/>
      <c r="BZ250" s="952"/>
      <c r="CB250" s="761"/>
      <c r="CD250" s="952"/>
      <c r="CP250" s="761"/>
      <c r="CV250" s="761"/>
      <c r="DB250" s="761"/>
      <c r="DH250" s="761"/>
      <c r="DN250" s="761"/>
      <c r="DT250" s="761"/>
      <c r="DV250" s="977"/>
      <c r="EB250" s="761"/>
      <c r="ED250" s="978"/>
      <c r="EJ250" s="761"/>
      <c r="EP250" s="761"/>
      <c r="EV250" s="761"/>
      <c r="FB250" s="761"/>
      <c r="FD250" s="761"/>
      <c r="GL250" s="973">
        <f t="shared" si="810"/>
        <v>0</v>
      </c>
      <c r="GN250" s="973"/>
    </row>
    <row r="251" spans="1:196">
      <c r="A251" s="766" t="s">
        <v>737</v>
      </c>
      <c r="J251" s="758">
        <v>220</v>
      </c>
      <c r="K251" s="775">
        <v>7424311</v>
      </c>
      <c r="M251" s="775"/>
      <c r="O251" s="775">
        <f t="shared" ref="O251" si="839">K251+M251</f>
        <v>7424311</v>
      </c>
      <c r="Q251" s="775">
        <v>37583898</v>
      </c>
      <c r="S251" s="775">
        <f>359744+109000</f>
        <v>468744</v>
      </c>
      <c r="U251" s="775">
        <f t="shared" ref="U251" si="840">Q251+S251</f>
        <v>38052642</v>
      </c>
      <c r="W251" s="775">
        <v>22979395</v>
      </c>
      <c r="Y251" s="775">
        <v>-8018</v>
      </c>
      <c r="AA251" s="775">
        <f t="shared" ref="AA251" si="841">W251+Y251</f>
        <v>22971377</v>
      </c>
      <c r="AC251" s="775">
        <v>19766633</v>
      </c>
      <c r="AE251" s="775"/>
      <c r="AG251" s="775">
        <f t="shared" ref="AG251" si="842">AC251+AE251</f>
        <v>19766633</v>
      </c>
      <c r="AI251" s="776">
        <v>3754784</v>
      </c>
      <c r="AK251" s="970">
        <v>0</v>
      </c>
      <c r="AM251" s="775"/>
      <c r="AO251" s="775">
        <f t="shared" ref="AO251" si="843">AI251+AM251</f>
        <v>3754784</v>
      </c>
      <c r="AQ251" s="775"/>
      <c r="AS251" s="775"/>
      <c r="AU251" s="775">
        <f t="shared" ref="AU251" si="844">AQ251+AS251</f>
        <v>0</v>
      </c>
      <c r="AW251" s="775">
        <v>58573587</v>
      </c>
      <c r="AY251" s="775">
        <v>-439775</v>
      </c>
      <c r="BA251" s="775">
        <f t="shared" ref="BA251" si="845">AW251+AY251</f>
        <v>58133812</v>
      </c>
      <c r="BC251" s="775">
        <v>42587348</v>
      </c>
      <c r="BE251" s="775"/>
      <c r="BG251" s="775">
        <f t="shared" ref="BG251" si="846">BC251+BE251</f>
        <v>42587348</v>
      </c>
      <c r="BI251" s="775">
        <v>359064652</v>
      </c>
      <c r="BK251" s="775"/>
      <c r="BM251" s="775">
        <f t="shared" ref="BM251" si="847">BI251+BK251</f>
        <v>359064652</v>
      </c>
      <c r="BO251" s="775">
        <v>7528506</v>
      </c>
      <c r="BQ251" s="970"/>
      <c r="BS251" s="775"/>
      <c r="BU251" s="775">
        <f t="shared" ref="BU251" si="848">BO251+BS251</f>
        <v>7528506</v>
      </c>
      <c r="BW251" s="775">
        <v>4470366</v>
      </c>
      <c r="BZ251" s="970"/>
      <c r="CB251" s="775"/>
      <c r="CD251" s="970"/>
      <c r="CF251" s="775"/>
      <c r="CH251" s="775">
        <f t="shared" ref="CH251" si="849">BW251+CF251</f>
        <v>4470366</v>
      </c>
      <c r="CJ251" s="775">
        <v>89264</v>
      </c>
      <c r="CL251" s="775"/>
      <c r="CN251" s="775">
        <f t="shared" ref="CN251" si="850">CJ251+CL251</f>
        <v>89264</v>
      </c>
      <c r="CP251" s="775">
        <v>283142</v>
      </c>
      <c r="CR251" s="775">
        <v>-22039</v>
      </c>
      <c r="CT251" s="775">
        <f t="shared" ref="CT251" si="851">CP251+CR251</f>
        <v>261103</v>
      </c>
      <c r="CV251" s="775">
        <v>4863987</v>
      </c>
      <c r="CX251" s="775"/>
      <c r="CZ251" s="775">
        <f t="shared" ref="CZ251" si="852">CV251+CX251</f>
        <v>4863987</v>
      </c>
      <c r="DB251" s="775">
        <v>1059484000</v>
      </c>
      <c r="DD251" s="775"/>
      <c r="DF251" s="775">
        <f t="shared" ref="DF251" si="853">DB251+DD251</f>
        <v>1059484000</v>
      </c>
      <c r="DH251" s="776">
        <v>5664990</v>
      </c>
      <c r="DJ251" s="775"/>
      <c r="DL251" s="775">
        <f t="shared" ref="DL251" si="854">DH251+DJ251</f>
        <v>5664990</v>
      </c>
      <c r="DN251" s="775">
        <v>29610805</v>
      </c>
      <c r="DP251" s="775"/>
      <c r="DR251" s="775">
        <f t="shared" ref="DR251" si="855">DN251+DP251</f>
        <v>29610805</v>
      </c>
      <c r="DT251" s="775">
        <v>20624003</v>
      </c>
      <c r="DV251" s="971"/>
      <c r="DX251" s="775"/>
      <c r="DZ251" s="775">
        <f t="shared" ref="DZ251" si="856">DT251+DX251</f>
        <v>20624003</v>
      </c>
      <c r="EB251" s="775">
        <v>172764752</v>
      </c>
      <c r="ED251" s="972"/>
      <c r="EF251" s="775"/>
      <c r="EH251" s="775">
        <f t="shared" ref="EH251" si="857">EB251+EF251</f>
        <v>172764752</v>
      </c>
      <c r="EJ251" s="776">
        <v>2003347358</v>
      </c>
      <c r="EL251" s="775"/>
      <c r="EN251" s="775">
        <f t="shared" ref="EN251" si="858">EJ251+EL251</f>
        <v>2003347358</v>
      </c>
      <c r="EP251" s="775">
        <v>3747484661</v>
      </c>
      <c r="ER251" s="775"/>
      <c r="ET251" s="775">
        <f t="shared" ref="ET251" si="859">EP251+ER251</f>
        <v>3747484661</v>
      </c>
      <c r="EV251" s="775">
        <v>1233722920</v>
      </c>
      <c r="EX251" s="775"/>
      <c r="EZ251" s="775">
        <f t="shared" ref="EZ251" si="860">EV251+EX251</f>
        <v>1233722920</v>
      </c>
      <c r="FB251" s="775"/>
      <c r="FD251" s="775"/>
      <c r="FF251" s="775">
        <v>35005584</v>
      </c>
      <c r="FH251" s="775"/>
      <c r="FJ251" s="775">
        <f t="shared" ref="FJ251" si="861">FF251+FH251</f>
        <v>35005584</v>
      </c>
      <c r="FL251" s="775">
        <v>75669181</v>
      </c>
      <c r="FN251" s="775"/>
      <c r="FP251" s="775">
        <f t="shared" ref="FP251" si="862">FL251+FN251</f>
        <v>75669181</v>
      </c>
      <c r="FR251" s="775">
        <v>841232779</v>
      </c>
      <c r="FT251" s="775"/>
      <c r="FV251" s="775">
        <f t="shared" ref="FV251" si="863">FR251+FT251</f>
        <v>841232779</v>
      </c>
      <c r="FX251" s="775">
        <v>256276639</v>
      </c>
      <c r="FZ251" s="775"/>
      <c r="GB251" s="775">
        <f t="shared" ref="GB251" si="864">FX251+FZ251</f>
        <v>256276639</v>
      </c>
      <c r="GD251" s="775">
        <v>-5064639896</v>
      </c>
      <c r="GF251" s="775"/>
      <c r="GH251" s="775">
        <v>-5064639896</v>
      </c>
      <c r="GK251" s="761">
        <f>O251+U251+AA251+AG251+AO251+AU251+BA251+BG251+BM251+BU251+CH251+CN251+CT251+CZ251+DF251+DL251+DR251+DZ251+EH251+EN251+ET251+EZ251+FJ251+FP251+FV251+GB251</f>
        <v>10049856457</v>
      </c>
      <c r="GL251" s="973">
        <f t="shared" si="810"/>
        <v>10049856.457</v>
      </c>
      <c r="GM251" s="761">
        <f>O251+U251+AA251+AG251+AO251+BA251+BG251+BM251+BU251+CH251+CN251+CT251+DF251+DZ251+EH251+EN251+ET251+EZ251+FJ251+FP251+FV251</f>
        <v>9753440036</v>
      </c>
      <c r="GN251" s="973"/>
    </row>
    <row r="252" spans="1:196">
      <c r="J252" s="770">
        <v>221</v>
      </c>
      <c r="BQ252" s="952"/>
      <c r="BW252" s="761"/>
      <c r="BZ252" s="952"/>
      <c r="CB252" s="761"/>
      <c r="CD252" s="952"/>
      <c r="CP252" s="761"/>
      <c r="CV252" s="761"/>
      <c r="DB252" s="761"/>
      <c r="DH252" s="761"/>
      <c r="DN252" s="761"/>
      <c r="DT252" s="761"/>
      <c r="DV252" s="977"/>
      <c r="EB252" s="761"/>
      <c r="ED252" s="978"/>
      <c r="EJ252" s="761"/>
      <c r="EP252" s="761"/>
      <c r="EV252" s="761"/>
      <c r="FB252" s="761"/>
      <c r="FD252" s="761"/>
      <c r="GL252" s="973">
        <f t="shared" si="810"/>
        <v>0</v>
      </c>
      <c r="GN252" s="973"/>
    </row>
    <row r="253" spans="1:196" ht="12" thickBot="1">
      <c r="A253" s="766" t="s">
        <v>738</v>
      </c>
      <c r="I253" s="771"/>
      <c r="J253" s="758">
        <v>222</v>
      </c>
      <c r="K253" s="784">
        <f>SUM(K249:K251)</f>
        <v>6039791</v>
      </c>
      <c r="M253" s="784">
        <f>SUM(M249:M251)</f>
        <v>0</v>
      </c>
      <c r="O253" s="784">
        <f>SUM(O249:O251)</f>
        <v>6039791</v>
      </c>
      <c r="Q253" s="784">
        <f>SUM(Q249+Q251)</f>
        <v>35578846</v>
      </c>
      <c r="S253" s="784">
        <f>SUM(S249:S251)</f>
        <v>0</v>
      </c>
      <c r="U253" s="784">
        <f>SUM(U249:U251)</f>
        <v>35578846</v>
      </c>
      <c r="W253" s="784">
        <f>SUM(W249+W251)</f>
        <v>22642320</v>
      </c>
      <c r="Y253" s="784">
        <f>SUM(Y249:Y251)</f>
        <v>0</v>
      </c>
      <c r="AA253" s="784">
        <f>SUM(AA249:AA251)</f>
        <v>22642320</v>
      </c>
      <c r="AC253" s="784">
        <f>SUM(AC249:AC251)</f>
        <v>26141729</v>
      </c>
      <c r="AE253" s="784">
        <f>SUM(AE249:AE251)</f>
        <v>-2531</v>
      </c>
      <c r="AG253" s="784">
        <f>SUM(AG249:AG251)</f>
        <v>26139198</v>
      </c>
      <c r="AI253" s="784">
        <f>SUM(AI249:AI251)</f>
        <v>5799939</v>
      </c>
      <c r="AK253" s="983">
        <f>SUM(AK249:AK251)</f>
        <v>0</v>
      </c>
      <c r="AM253" s="784">
        <f>SUM(AM249:AM251)</f>
        <v>0</v>
      </c>
      <c r="AO253" s="784">
        <f>SUM(AO249:AO251)</f>
        <v>5799939</v>
      </c>
      <c r="AQ253" s="784">
        <f>SUM(AQ249:AQ251)</f>
        <v>0</v>
      </c>
      <c r="AS253" s="784">
        <f>SUM(AS249:AS251)</f>
        <v>0</v>
      </c>
      <c r="AU253" s="784">
        <f>SUM(AU249:AU251)</f>
        <v>0</v>
      </c>
      <c r="AW253" s="784">
        <f>SUM(AW249:AW251)</f>
        <v>113245928</v>
      </c>
      <c r="AY253" s="784">
        <f>SUM(AY249:AY251)</f>
        <v>0</v>
      </c>
      <c r="BA253" s="784">
        <f>SUM(BA249:BA251)</f>
        <v>113245928</v>
      </c>
      <c r="BC253" s="784">
        <f>SUM(BC249:BC251)</f>
        <v>25830014</v>
      </c>
      <c r="BE253" s="784">
        <f>SUM(BE249:BE251)</f>
        <v>0</v>
      </c>
      <c r="BG253" s="784">
        <f>SUM(BG249:BG251)</f>
        <v>25830014</v>
      </c>
      <c r="BI253" s="784">
        <f>SUM(BI249:BI251)</f>
        <v>338710586</v>
      </c>
      <c r="BK253" s="784">
        <f>SUM(BK249:BK251)</f>
        <v>-648773</v>
      </c>
      <c r="BM253" s="784">
        <f>SUM(BM249:BM251)</f>
        <v>338061813</v>
      </c>
      <c r="BO253" s="784">
        <f>SUM(BO249:BO251)</f>
        <v>7274745</v>
      </c>
      <c r="BQ253" s="983">
        <f>SUM(BQ249:BQ251)</f>
        <v>0</v>
      </c>
      <c r="BS253" s="784">
        <f>SUM(BS249:BS251)</f>
        <v>0</v>
      </c>
      <c r="BU253" s="784">
        <f>SUM(BU249:BU251)</f>
        <v>7274745</v>
      </c>
      <c r="BW253" s="784">
        <f>SUM(BW249:BW251)</f>
        <v>4963647</v>
      </c>
      <c r="BZ253" s="983">
        <f>SUM(BZ249:BZ251)</f>
        <v>0</v>
      </c>
      <c r="CB253" s="784">
        <f>SUM(CB249:CB251)</f>
        <v>0</v>
      </c>
      <c r="CD253" s="983">
        <f>SUM(CD249:CD251)</f>
        <v>0</v>
      </c>
      <c r="CF253" s="784">
        <f>SUM(CF249:CF251)</f>
        <v>0</v>
      </c>
      <c r="CH253" s="784">
        <f>SUM(CH249:CH251)</f>
        <v>4963647</v>
      </c>
      <c r="CJ253" s="784">
        <f>SUM(CJ249:CJ251)</f>
        <v>574467</v>
      </c>
      <c r="CL253" s="784">
        <f>SUM(CL249:CL251)</f>
        <v>0</v>
      </c>
      <c r="CN253" s="784">
        <f>SUM(CN249:CN251)</f>
        <v>574467</v>
      </c>
      <c r="CP253" s="784">
        <f>SUM(CP249:CP251)</f>
        <v>527169</v>
      </c>
      <c r="CR253" s="784">
        <f>SUM(CR249:CR251)</f>
        <v>0</v>
      </c>
      <c r="CT253" s="784">
        <f>SUM(CT249:CT251)</f>
        <v>527169</v>
      </c>
      <c r="CV253" s="784">
        <f>SUM(CV249:CV251)</f>
        <v>1939377</v>
      </c>
      <c r="CX253" s="784">
        <f>SUM(CX249:CX251)</f>
        <v>0</v>
      </c>
      <c r="CZ253" s="784">
        <f>SUM(CZ249:CZ251)</f>
        <v>1939377</v>
      </c>
      <c r="DB253" s="784">
        <f>SUM(DB249:DB251)</f>
        <v>1177022000</v>
      </c>
      <c r="DD253" s="784">
        <f>SUM(DD249:DD251)</f>
        <v>0</v>
      </c>
      <c r="DF253" s="784">
        <f>SUM(DF249:DF251)</f>
        <v>1177022000</v>
      </c>
      <c r="DH253" s="784">
        <f>SUM(DH249:DH251)</f>
        <v>5769664</v>
      </c>
      <c r="DJ253" s="784">
        <f>SUM(DJ249:DJ251)</f>
        <v>0</v>
      </c>
      <c r="DL253" s="784">
        <f>SUM(DL249:DL251)</f>
        <v>5769664</v>
      </c>
      <c r="DN253" s="784">
        <f>SUM(DN249:DN251)</f>
        <v>29862885</v>
      </c>
      <c r="DP253" s="784">
        <f>SUM(DP249:DP251)</f>
        <v>0</v>
      </c>
      <c r="DR253" s="784">
        <f>SUM(DR249:DR251)</f>
        <v>29862885</v>
      </c>
      <c r="DT253" s="784">
        <f>SUM(DT249:DT251)</f>
        <v>27377833</v>
      </c>
      <c r="DV253" s="984">
        <f>SUM(DV249:DV251)</f>
        <v>0</v>
      </c>
      <c r="DX253" s="784">
        <f>SUM(DX249:DX251)</f>
        <v>0</v>
      </c>
      <c r="DZ253" s="784">
        <f>SUM(DZ249:DZ251)</f>
        <v>27377833</v>
      </c>
      <c r="EB253" s="784">
        <f>SUM(EB249:EB251)</f>
        <v>201664882</v>
      </c>
      <c r="ED253" s="985">
        <f>SUM(ED249:ED251)</f>
        <v>0</v>
      </c>
      <c r="EF253" s="784">
        <f>SUM(EF249:EF251)</f>
        <v>0</v>
      </c>
      <c r="EH253" s="784">
        <f>SUM(EH249:EH251)</f>
        <v>201664882</v>
      </c>
      <c r="EJ253" s="784">
        <f>SUM(EJ249:EJ251)</f>
        <v>2215607796</v>
      </c>
      <c r="EL253" s="784">
        <f>SUM(EL249:EL251)</f>
        <v>0</v>
      </c>
      <c r="EN253" s="784">
        <f>SUM(EN249:EN251)</f>
        <v>2215607796</v>
      </c>
      <c r="EP253" s="784">
        <f>SUM(EP249:EP251)</f>
        <v>3785147296</v>
      </c>
      <c r="ER253" s="784">
        <f>SUM(ER249:ER251)</f>
        <v>0</v>
      </c>
      <c r="ET253" s="784">
        <f>SUM(ET249:ET251)</f>
        <v>3785147296</v>
      </c>
      <c r="EV253" s="784">
        <f>SUM(EV249:EV251)</f>
        <v>1452558394</v>
      </c>
      <c r="EX253" s="784">
        <f>SUM(EX249:EX251)</f>
        <v>0</v>
      </c>
      <c r="EZ253" s="784">
        <f>SUM(EZ249:EZ251)</f>
        <v>1452558394</v>
      </c>
      <c r="FB253" s="784">
        <f>SUM(FB249:FB251)</f>
        <v>0</v>
      </c>
      <c r="FD253" s="784">
        <f>SUM(FD249:FD251)</f>
        <v>0</v>
      </c>
      <c r="FF253" s="784">
        <f>SUM(FF249:FF251)</f>
        <v>47263761</v>
      </c>
      <c r="FH253" s="784">
        <f>SUM(FH249:FH251)</f>
        <v>0</v>
      </c>
      <c r="FJ253" s="784">
        <f>SUM(FJ249:FJ251)</f>
        <v>47263761</v>
      </c>
      <c r="FL253" s="784">
        <f>SUM(FL249:FL251)</f>
        <v>72529729</v>
      </c>
      <c r="FN253" s="784">
        <f>SUM(FN249:FN251)</f>
        <v>-107644</v>
      </c>
      <c r="FP253" s="784">
        <f>SUM(FP249:FP251)</f>
        <v>72422085</v>
      </c>
      <c r="FR253" s="784">
        <f>SUM(FR249:FR251)</f>
        <v>1241921345</v>
      </c>
      <c r="FT253" s="784">
        <f>SUM(FT249:FT251)</f>
        <v>-18000</v>
      </c>
      <c r="FV253" s="784">
        <f>SUM(FV249:FV251)</f>
        <v>1241903345</v>
      </c>
      <c r="FX253" s="784">
        <f>SUM(FX249:FX251)</f>
        <v>270953921</v>
      </c>
      <c r="FZ253" s="784">
        <f>SUM(FZ249:FZ251)</f>
        <v>0</v>
      </c>
      <c r="GB253" s="784">
        <f>SUM(GB249:GB251)</f>
        <v>270953921</v>
      </c>
      <c r="GD253" s="784">
        <v>-5290090411</v>
      </c>
      <c r="GF253" s="784">
        <v>0</v>
      </c>
      <c r="GH253" s="784">
        <v>-5290090411</v>
      </c>
      <c r="GK253" s="761">
        <f>O253+U253+AA253+AG253+AO253+AU253+BA253+BG253+BM253+BU253+CH253+CN253+CT253+CZ253+DF253+DL253+DR253+DZ253+EH253+EN253+ET253+EZ253+FJ253+FP253+FV253+GB253</f>
        <v>11116171116</v>
      </c>
      <c r="GL253" s="973">
        <f t="shared" si="810"/>
        <v>11116171.116</v>
      </c>
      <c r="GM253" s="761">
        <f>O253+U253+AA253+AG253+AO253+BA253+BG253+BM253+BU253+CH253+CN253+CT253+DF253+DZ253+EH253+EN253+ET253+EZ253+FJ253+FP253+FV253</f>
        <v>10807645269</v>
      </c>
      <c r="GN253" s="973"/>
    </row>
    <row r="254" spans="1:196" s="829" customFormat="1" ht="12.75" thickTop="1">
      <c r="B254" s="846" t="s">
        <v>1465</v>
      </c>
      <c r="K254" s="828">
        <f>K207-K253</f>
        <v>0</v>
      </c>
      <c r="M254" s="828"/>
      <c r="O254" s="828">
        <f>O207-O253</f>
        <v>0</v>
      </c>
      <c r="P254" s="828"/>
      <c r="Q254" s="828">
        <f>Q207-Q253</f>
        <v>0</v>
      </c>
      <c r="S254" s="828"/>
      <c r="U254" s="828">
        <f>U207-U253</f>
        <v>0</v>
      </c>
      <c r="V254" s="828"/>
      <c r="W254" s="828">
        <f>W207-W253</f>
        <v>0</v>
      </c>
      <c r="Y254" s="828"/>
      <c r="AA254" s="828">
        <f>AA207-AA253</f>
        <v>0</v>
      </c>
      <c r="AB254" s="828"/>
      <c r="AC254" s="828">
        <f>AC207-AC253</f>
        <v>0</v>
      </c>
      <c r="AE254" s="828"/>
      <c r="AG254" s="828">
        <f>AG207-AG253</f>
        <v>0</v>
      </c>
      <c r="AH254" s="828"/>
      <c r="AI254" s="828">
        <f>AI207-AI253</f>
        <v>0</v>
      </c>
      <c r="AJ254" s="828"/>
      <c r="AK254" s="990">
        <f>AK207-AK253</f>
        <v>0</v>
      </c>
      <c r="AM254" s="828"/>
      <c r="AO254" s="828">
        <f>AO207-AO253</f>
        <v>0</v>
      </c>
      <c r="AP254" s="828"/>
      <c r="AQ254" s="828">
        <f>AQ207-AQ253</f>
        <v>0</v>
      </c>
      <c r="AS254" s="828"/>
      <c r="AU254" s="828">
        <f>AU207-AU253</f>
        <v>0</v>
      </c>
      <c r="AV254" s="828"/>
      <c r="AW254" s="828">
        <f>AW207-AW253</f>
        <v>0</v>
      </c>
      <c r="AY254" s="828"/>
      <c r="BA254" s="828">
        <f>BA207-BA253</f>
        <v>0</v>
      </c>
      <c r="BB254" s="828"/>
      <c r="BC254" s="828">
        <f>BC207-BC253</f>
        <v>0</v>
      </c>
      <c r="BE254" s="828"/>
      <c r="BG254" s="828">
        <f>BG207-BG253</f>
        <v>0</v>
      </c>
      <c r="BH254" s="828"/>
      <c r="BI254" s="828">
        <f>BI207-BI253</f>
        <v>0</v>
      </c>
      <c r="BK254" s="828"/>
      <c r="BM254" s="828">
        <f>BM207-BM253</f>
        <v>0</v>
      </c>
      <c r="BN254" s="828"/>
      <c r="BO254" s="828">
        <f>BO207-BO253</f>
        <v>0</v>
      </c>
      <c r="BQ254" s="990">
        <f>BQ207-BQ253</f>
        <v>0</v>
      </c>
      <c r="BS254" s="828"/>
      <c r="BU254" s="828">
        <f>BU207-BU253</f>
        <v>0</v>
      </c>
      <c r="BW254" s="828">
        <f>BW207-BW253</f>
        <v>0</v>
      </c>
      <c r="BZ254" s="990">
        <f>BZ207-BZ253</f>
        <v>0</v>
      </c>
      <c r="CB254" s="828">
        <f>CB207-CB253</f>
        <v>0</v>
      </c>
      <c r="CD254" s="990">
        <f>CD207-CD253</f>
        <v>0</v>
      </c>
      <c r="CF254" s="828"/>
      <c r="CH254" s="828">
        <f>CH207-CH253</f>
        <v>0</v>
      </c>
      <c r="CJ254" s="828">
        <f>CJ207-CJ253</f>
        <v>0</v>
      </c>
      <c r="CL254" s="828"/>
      <c r="CN254" s="828">
        <f>CN207-CN253</f>
        <v>0</v>
      </c>
      <c r="CP254" s="828">
        <f>CP207-CP253</f>
        <v>0</v>
      </c>
      <c r="CR254" s="828"/>
      <c r="CT254" s="828">
        <f>CT207-CT253</f>
        <v>0</v>
      </c>
      <c r="CV254" s="828">
        <f>CV207-CV253</f>
        <v>0</v>
      </c>
      <c r="CX254" s="828"/>
      <c r="CZ254" s="828">
        <f>CZ207-CZ253</f>
        <v>0</v>
      </c>
      <c r="DB254" s="828">
        <f>DB207-DB253</f>
        <v>0</v>
      </c>
      <c r="DD254" s="828"/>
      <c r="DF254" s="828">
        <f>DF207-DF253</f>
        <v>0</v>
      </c>
      <c r="DH254" s="828">
        <f>DH207-DH253</f>
        <v>0</v>
      </c>
      <c r="DJ254" s="828"/>
      <c r="DL254" s="828">
        <f>DL207-DL253</f>
        <v>0</v>
      </c>
      <c r="DN254" s="828">
        <f>DN207-DN253</f>
        <v>0</v>
      </c>
      <c r="DP254" s="828"/>
      <c r="DR254" s="828">
        <f>DR207-DR253</f>
        <v>0</v>
      </c>
      <c r="DT254" s="828">
        <f>DT207-DT253</f>
        <v>0</v>
      </c>
      <c r="DV254" s="991">
        <f>DV207-DV253</f>
        <v>0</v>
      </c>
      <c r="DX254" s="828"/>
      <c r="DZ254" s="828">
        <f>DZ207-DZ253</f>
        <v>0</v>
      </c>
      <c r="EB254" s="828">
        <f>EB207-EB253</f>
        <v>0</v>
      </c>
      <c r="ED254" s="992">
        <f>ED207-ED253</f>
        <v>0</v>
      </c>
      <c r="EF254" s="828"/>
      <c r="EH254" s="828">
        <f>EH207-EH253</f>
        <v>0</v>
      </c>
      <c r="EJ254" s="828">
        <f>EJ207-EJ253</f>
        <v>0</v>
      </c>
      <c r="EL254" s="828"/>
      <c r="EN254" s="828">
        <f>EN207-EN253</f>
        <v>0</v>
      </c>
      <c r="EP254" s="828">
        <f>EP207-EP253</f>
        <v>0</v>
      </c>
      <c r="ER254" s="828"/>
      <c r="ET254" s="828">
        <f>ET207-ET253</f>
        <v>0</v>
      </c>
      <c r="EV254" s="828">
        <f>EV207-EV253</f>
        <v>0</v>
      </c>
      <c r="EX254" s="828"/>
      <c r="EZ254" s="828">
        <f>EZ207-EZ253</f>
        <v>0</v>
      </c>
      <c r="FB254" s="828">
        <f>FB207-FB253</f>
        <v>0</v>
      </c>
      <c r="FD254" s="828">
        <f>FD207-FD253</f>
        <v>0</v>
      </c>
      <c r="FF254" s="828">
        <f>FF207-FF253</f>
        <v>0</v>
      </c>
      <c r="FH254" s="828"/>
      <c r="FJ254" s="828">
        <f>FJ207-FJ253</f>
        <v>0</v>
      </c>
      <c r="FL254" s="828">
        <f>FL207-FL253</f>
        <v>0</v>
      </c>
      <c r="FN254" s="828"/>
      <c r="FP254" s="828">
        <f>FP207-FP253</f>
        <v>0</v>
      </c>
      <c r="FR254" s="828">
        <f>FR207-FR253</f>
        <v>0</v>
      </c>
      <c r="FT254" s="828"/>
      <c r="FV254" s="828">
        <f>FV207-FV253</f>
        <v>0</v>
      </c>
      <c r="FX254" s="828">
        <f>FX207-FX253</f>
        <v>0</v>
      </c>
      <c r="FZ254" s="828"/>
      <c r="GB254" s="828">
        <f>GB207-GB253</f>
        <v>0</v>
      </c>
      <c r="GD254" s="828">
        <v>0</v>
      </c>
      <c r="GF254" s="828"/>
      <c r="GH254" s="828">
        <v>0</v>
      </c>
    </row>
    <row r="255" spans="1:196" ht="12">
      <c r="B255" s="846"/>
      <c r="DV255" s="968"/>
      <c r="ED255" s="969"/>
    </row>
    <row r="256" spans="1:196">
      <c r="B256" s="993"/>
      <c r="C256" s="994"/>
      <c r="D256" s="995"/>
      <c r="E256" s="995"/>
      <c r="F256" s="995"/>
      <c r="G256" s="995"/>
      <c r="H256" s="996" t="s">
        <v>307</v>
      </c>
      <c r="I256" s="997"/>
      <c r="DV256" s="968"/>
      <c r="ED256" s="969"/>
    </row>
    <row r="257" spans="1:195">
      <c r="H257" s="763"/>
      <c r="DV257" s="968"/>
      <c r="ED257" s="969"/>
    </row>
    <row r="258" spans="1:195" ht="54.75" customHeight="1">
      <c r="J258" s="758">
        <v>1</v>
      </c>
      <c r="K258" s="958" t="s">
        <v>1770</v>
      </c>
      <c r="M258" s="774" t="s">
        <v>1711</v>
      </c>
      <c r="O258" s="958" t="s">
        <v>656</v>
      </c>
      <c r="P258" s="772"/>
      <c r="Q258" s="959" t="s">
        <v>1771</v>
      </c>
      <c r="S258" s="774" t="s">
        <v>1711</v>
      </c>
      <c r="U258" s="959" t="s">
        <v>278</v>
      </c>
      <c r="V258" s="772"/>
      <c r="W258" s="958" t="s">
        <v>1772</v>
      </c>
      <c r="Y258" s="774" t="s">
        <v>1711</v>
      </c>
      <c r="AA258" s="958" t="s">
        <v>616</v>
      </c>
      <c r="AB258" s="772"/>
      <c r="AC258" s="958" t="s">
        <v>1773</v>
      </c>
      <c r="AE258" s="774" t="s">
        <v>1711</v>
      </c>
      <c r="AG258" s="958" t="s">
        <v>487</v>
      </c>
      <c r="AH258" s="772"/>
      <c r="AI258" s="959" t="s">
        <v>1774</v>
      </c>
      <c r="AJ258" s="772"/>
      <c r="AK258" s="959" t="s">
        <v>1712</v>
      </c>
      <c r="AM258" s="774" t="s">
        <v>1711</v>
      </c>
      <c r="AO258" s="959" t="s">
        <v>490</v>
      </c>
      <c r="AQ258" s="958" t="s">
        <v>488</v>
      </c>
      <c r="AS258" s="774" t="s">
        <v>1711</v>
      </c>
      <c r="AU258" s="774" t="s">
        <v>579</v>
      </c>
      <c r="AV258" s="772"/>
      <c r="AW258" s="958" t="s">
        <v>1775</v>
      </c>
      <c r="AY258" s="774" t="s">
        <v>1711</v>
      </c>
      <c r="BA258" s="958" t="s">
        <v>35</v>
      </c>
      <c r="BB258" s="772"/>
      <c r="BC258" s="959" t="s">
        <v>1776</v>
      </c>
      <c r="BE258" s="774" t="s">
        <v>1711</v>
      </c>
      <c r="BG258" s="959" t="s">
        <v>491</v>
      </c>
      <c r="BH258" s="772"/>
      <c r="BI258" s="959" t="s">
        <v>1777</v>
      </c>
      <c r="BK258" s="774" t="s">
        <v>1711</v>
      </c>
      <c r="BM258" s="959" t="s">
        <v>1092</v>
      </c>
      <c r="BN258" s="772"/>
      <c r="BO258" s="958" t="s">
        <v>1778</v>
      </c>
      <c r="BQ258" s="960" t="s">
        <v>1713</v>
      </c>
      <c r="BS258" s="774" t="s">
        <v>1711</v>
      </c>
      <c r="BU258" s="958" t="s">
        <v>489</v>
      </c>
      <c r="BW258" s="959" t="s">
        <v>1779</v>
      </c>
      <c r="BZ258" s="960" t="s">
        <v>1714</v>
      </c>
      <c r="CB258" s="961" t="s">
        <v>1368</v>
      </c>
      <c r="CD258" s="960" t="s">
        <v>1715</v>
      </c>
      <c r="CF258" s="774" t="s">
        <v>1711</v>
      </c>
      <c r="CH258" s="959" t="s">
        <v>53</v>
      </c>
      <c r="CJ258" s="958" t="s">
        <v>1780</v>
      </c>
      <c r="CL258" s="774" t="s">
        <v>1711</v>
      </c>
      <c r="CN258" s="958" t="s">
        <v>751</v>
      </c>
      <c r="CP258" s="959" t="s">
        <v>1781</v>
      </c>
      <c r="CR258" s="774" t="s">
        <v>1711</v>
      </c>
      <c r="CT258" s="959" t="s">
        <v>54</v>
      </c>
      <c r="CV258" s="962" t="s">
        <v>1782</v>
      </c>
      <c r="CX258" s="774" t="s">
        <v>1711</v>
      </c>
      <c r="CZ258" s="962" t="s">
        <v>1716</v>
      </c>
      <c r="DB258" s="959" t="s">
        <v>1783</v>
      </c>
      <c r="DD258" s="774" t="s">
        <v>1711</v>
      </c>
      <c r="DF258" s="959" t="s">
        <v>55</v>
      </c>
      <c r="DH258" s="962" t="s">
        <v>1784</v>
      </c>
      <c r="DJ258" s="774" t="s">
        <v>1711</v>
      </c>
      <c r="DL258" s="962" t="s">
        <v>1717</v>
      </c>
      <c r="DM258" s="963"/>
      <c r="DN258" s="962" t="s">
        <v>1785</v>
      </c>
      <c r="DP258" s="774" t="s">
        <v>1711</v>
      </c>
      <c r="DR258" s="962" t="s">
        <v>1718</v>
      </c>
      <c r="DT258" s="964" t="s">
        <v>1786</v>
      </c>
      <c r="DV258" s="965"/>
      <c r="DX258" s="774" t="s">
        <v>1711</v>
      </c>
      <c r="DZ258" s="930" t="s">
        <v>983</v>
      </c>
      <c r="EB258" s="959" t="s">
        <v>1787</v>
      </c>
      <c r="ED258" s="966"/>
      <c r="EF258" s="774" t="s">
        <v>1711</v>
      </c>
      <c r="EH258" s="959" t="s">
        <v>56</v>
      </c>
      <c r="EJ258" s="959" t="s">
        <v>1788</v>
      </c>
      <c r="EL258" s="774" t="s">
        <v>1711</v>
      </c>
      <c r="EN258" s="959" t="s">
        <v>57</v>
      </c>
      <c r="EP258" s="959" t="s">
        <v>1789</v>
      </c>
      <c r="ER258" s="774" t="s">
        <v>1711</v>
      </c>
      <c r="ET258" s="959" t="s">
        <v>700</v>
      </c>
      <c r="EV258" s="959" t="s">
        <v>1790</v>
      </c>
      <c r="EX258" s="774" t="s">
        <v>1711</v>
      </c>
      <c r="EZ258" s="930" t="s">
        <v>945</v>
      </c>
      <c r="FB258" s="960"/>
      <c r="FD258" s="967" t="s">
        <v>1369</v>
      </c>
      <c r="FF258" s="959" t="s">
        <v>1791</v>
      </c>
      <c r="FH258" s="774" t="s">
        <v>1711</v>
      </c>
      <c r="FJ258" s="959" t="s">
        <v>702</v>
      </c>
      <c r="FL258" s="959" t="s">
        <v>1792</v>
      </c>
      <c r="FN258" s="774" t="s">
        <v>1711</v>
      </c>
      <c r="FP258" s="959" t="s">
        <v>1364</v>
      </c>
      <c r="FR258" s="959" t="s">
        <v>1793</v>
      </c>
      <c r="FT258" s="774" t="s">
        <v>1711</v>
      </c>
      <c r="FV258" s="959" t="s">
        <v>1370</v>
      </c>
      <c r="FX258" s="962" t="s">
        <v>1794</v>
      </c>
      <c r="FZ258" s="774" t="s">
        <v>1711</v>
      </c>
      <c r="GB258" s="962" t="s">
        <v>1719</v>
      </c>
      <c r="GD258" s="962" t="s">
        <v>1861</v>
      </c>
      <c r="GF258" s="774" t="s">
        <v>1711</v>
      </c>
      <c r="GH258" s="962" t="s">
        <v>1862</v>
      </c>
      <c r="GK258" s="759" t="s">
        <v>1731</v>
      </c>
    </row>
    <row r="259" spans="1:195">
      <c r="J259" s="770">
        <v>2</v>
      </c>
      <c r="BQ259" s="952"/>
      <c r="BW259" s="761"/>
      <c r="BZ259" s="952"/>
      <c r="CB259" s="761"/>
      <c r="CD259" s="952"/>
      <c r="CP259" s="761"/>
      <c r="CV259" s="761"/>
      <c r="DB259" s="761"/>
      <c r="DH259" s="761"/>
      <c r="DN259" s="761"/>
      <c r="DT259" s="761"/>
      <c r="DV259" s="977"/>
      <c r="EB259" s="761"/>
      <c r="ED259" s="978"/>
      <c r="EJ259" s="761"/>
      <c r="EP259" s="761"/>
      <c r="EV259" s="761"/>
      <c r="FB259" s="761"/>
      <c r="FD259" s="761"/>
    </row>
    <row r="260" spans="1:195">
      <c r="A260" s="849"/>
      <c r="D260" s="849" t="s">
        <v>667</v>
      </c>
      <c r="E260" s="849"/>
      <c r="J260" s="758">
        <v>3</v>
      </c>
      <c r="BQ260" s="952"/>
      <c r="BW260" s="761"/>
      <c r="BZ260" s="952"/>
      <c r="CB260" s="761"/>
      <c r="CD260" s="952"/>
      <c r="CP260" s="761"/>
      <c r="CV260" s="761"/>
      <c r="DB260" s="761"/>
      <c r="DH260" s="761"/>
      <c r="DN260" s="761"/>
      <c r="DT260" s="761"/>
      <c r="DV260" s="977"/>
      <c r="EB260" s="761"/>
      <c r="ED260" s="978"/>
      <c r="EJ260" s="761"/>
      <c r="EP260" s="761"/>
      <c r="EV260" s="761"/>
      <c r="FB260" s="761"/>
      <c r="FD260" s="761"/>
    </row>
    <row r="261" spans="1:195">
      <c r="B261" s="849"/>
      <c r="D261" s="849" t="s">
        <v>633</v>
      </c>
      <c r="E261" s="849"/>
      <c r="J261" s="770">
        <v>4</v>
      </c>
      <c r="K261" s="775"/>
      <c r="M261" s="775"/>
      <c r="O261" s="775">
        <f t="shared" ref="O261:O265" si="865">K261+M261</f>
        <v>0</v>
      </c>
      <c r="Q261" s="775">
        <v>6951651</v>
      </c>
      <c r="S261" s="775"/>
      <c r="U261" s="775">
        <f t="shared" ref="U261:U265" si="866">Q261+S261</f>
        <v>6951651</v>
      </c>
      <c r="W261" s="775"/>
      <c r="Y261" s="775"/>
      <c r="AA261" s="775">
        <f t="shared" ref="AA261:AA265" si="867">W261+Y261</f>
        <v>0</v>
      </c>
      <c r="AC261" s="775"/>
      <c r="AE261" s="775"/>
      <c r="AG261" s="775">
        <f t="shared" ref="AG261:AG265" si="868">AC261+AE261</f>
        <v>0</v>
      </c>
      <c r="AI261" s="775"/>
      <c r="AK261" s="970">
        <v>0</v>
      </c>
      <c r="AM261" s="775"/>
      <c r="AO261" s="775">
        <f t="shared" ref="AO261:AO265" si="869">AI261+AM261</f>
        <v>0</v>
      </c>
      <c r="AQ261" s="775"/>
      <c r="AS261" s="775"/>
      <c r="AU261" s="775">
        <f t="shared" ref="AU261:AU265" si="870">AQ261+AS261</f>
        <v>0</v>
      </c>
      <c r="AW261" s="775"/>
      <c r="AY261" s="775"/>
      <c r="BA261" s="775">
        <f t="shared" ref="BA261:BA265" si="871">AW261+AY261</f>
        <v>0</v>
      </c>
      <c r="BC261" s="775">
        <v>811100</v>
      </c>
      <c r="BE261" s="775"/>
      <c r="BG261" s="775">
        <f t="shared" ref="BG261:BG265" si="872">BC261+BE261</f>
        <v>811100</v>
      </c>
      <c r="BI261" s="775"/>
      <c r="BK261" s="775"/>
      <c r="BM261" s="775">
        <f t="shared" ref="BM261:BM265" si="873">BI261+BK261</f>
        <v>0</v>
      </c>
      <c r="BO261" s="775"/>
      <c r="BQ261" s="970"/>
      <c r="BS261" s="775"/>
      <c r="BU261" s="986">
        <f t="shared" ref="BU261:BU265" si="874">BO261+BS261</f>
        <v>0</v>
      </c>
      <c r="BW261" s="775"/>
      <c r="BZ261" s="970"/>
      <c r="CB261" s="775"/>
      <c r="CD261" s="970"/>
      <c r="CF261" s="775"/>
      <c r="CH261" s="775">
        <f t="shared" ref="CH261:CH265" si="875">BW261+CF261</f>
        <v>0</v>
      </c>
      <c r="CJ261" s="775"/>
      <c r="CL261" s="775"/>
      <c r="CN261" s="775">
        <f t="shared" ref="CN261:CN265" si="876">CJ261+CL261</f>
        <v>0</v>
      </c>
      <c r="CP261" s="775"/>
      <c r="CR261" s="775"/>
      <c r="CT261" s="775">
        <f t="shared" ref="CT261:CT265" si="877">CP261+CR261</f>
        <v>0</v>
      </c>
      <c r="CV261" s="971"/>
      <c r="CW261" s="968"/>
      <c r="CX261" s="971"/>
      <c r="CY261" s="968"/>
      <c r="CZ261" s="971">
        <f t="shared" ref="CZ261:CZ265" si="878">CV261+CX261</f>
        <v>0</v>
      </c>
      <c r="DB261" s="775">
        <v>64198000</v>
      </c>
      <c r="DD261" s="775"/>
      <c r="DF261" s="775">
        <f t="shared" ref="DF261:DF265" si="879">DB261+DD261</f>
        <v>64198000</v>
      </c>
      <c r="DH261" s="971"/>
      <c r="DI261" s="968"/>
      <c r="DJ261" s="971"/>
      <c r="DK261" s="968"/>
      <c r="DL261" s="971">
        <f t="shared" ref="DL261:DL265" si="880">DH261+DJ261</f>
        <v>0</v>
      </c>
      <c r="DN261" s="971"/>
      <c r="DO261" s="968"/>
      <c r="DP261" s="971"/>
      <c r="DQ261" s="968"/>
      <c r="DR261" s="971">
        <f t="shared" ref="DR261:DR265" si="881">DN261+DP261</f>
        <v>0</v>
      </c>
      <c r="DT261" s="775">
        <v>3369446</v>
      </c>
      <c r="DV261" s="971">
        <v>0</v>
      </c>
      <c r="DX261" s="775"/>
      <c r="DZ261" s="775">
        <f t="shared" ref="DZ261:DZ265" si="882">DT261+DX261</f>
        <v>3369446</v>
      </c>
      <c r="EB261" s="775">
        <v>550000</v>
      </c>
      <c r="ED261" s="972"/>
      <c r="EF261" s="775"/>
      <c r="EH261" s="775">
        <f t="shared" ref="EH261:EH265" si="883">EB261+EF261</f>
        <v>550000</v>
      </c>
      <c r="EJ261" s="775"/>
      <c r="EL261" s="775"/>
      <c r="EN261" s="775">
        <f t="shared" ref="EN261:EN265" si="884">EJ261+EL261</f>
        <v>0</v>
      </c>
      <c r="EP261" s="775">
        <v>2935815</v>
      </c>
      <c r="ER261" s="775"/>
      <c r="ET261" s="775">
        <f t="shared" ref="ET261:ET265" si="885">EP261+ER261</f>
        <v>2935815</v>
      </c>
      <c r="EV261" s="775">
        <v>104471097</v>
      </c>
      <c r="EX261" s="775"/>
      <c r="EZ261" s="775">
        <f t="shared" ref="EZ261:EZ265" si="886">EV261+EX261</f>
        <v>104471097</v>
      </c>
      <c r="FB261" s="775">
        <v>0</v>
      </c>
      <c r="FD261" s="775"/>
      <c r="FF261" s="775"/>
      <c r="FH261" s="775"/>
      <c r="FJ261" s="775">
        <f t="shared" ref="FJ261:FJ265" si="887">FF261+FH261</f>
        <v>0</v>
      </c>
      <c r="FL261" s="775"/>
      <c r="FN261" s="775"/>
      <c r="FP261" s="775">
        <f t="shared" ref="FP261:FP265" si="888">FL261+FN261</f>
        <v>0</v>
      </c>
      <c r="FR261" s="775">
        <v>297503267</v>
      </c>
      <c r="FT261" s="775"/>
      <c r="FV261" s="775">
        <f t="shared" ref="FV261:FV265" si="889">FR261+FT261</f>
        <v>297503267</v>
      </c>
      <c r="FX261" s="971"/>
      <c r="FY261" s="968"/>
      <c r="FZ261" s="971"/>
      <c r="GA261" s="968"/>
      <c r="GB261" s="971">
        <f t="shared" ref="GB261:GB265" si="890">FX261+FZ261</f>
        <v>0</v>
      </c>
      <c r="GC261" s="968"/>
      <c r="GD261" s="971"/>
      <c r="GE261" s="968"/>
      <c r="GF261" s="971"/>
      <c r="GG261" s="968"/>
      <c r="GH261" s="971">
        <v>0</v>
      </c>
      <c r="GK261" s="761">
        <f t="shared" ref="GK261:GK266" si="891">O261+U261+AA261+AG261+AO261+AU261+BA261+BG261+BM261+BU261+CH261+CN261+CT261+DF261+DZ261+EH261+EN261+ET261+EZ261+FJ261+FP261+FV261</f>
        <v>480790376</v>
      </c>
      <c r="GM261" s="761"/>
    </row>
    <row r="262" spans="1:195">
      <c r="B262" s="849"/>
      <c r="D262" s="849" t="s">
        <v>634</v>
      </c>
      <c r="E262" s="849"/>
      <c r="J262" s="758">
        <v>5</v>
      </c>
      <c r="K262" s="775"/>
      <c r="M262" s="775"/>
      <c r="O262" s="775">
        <f t="shared" si="865"/>
        <v>0</v>
      </c>
      <c r="Q262" s="775"/>
      <c r="S262" s="775"/>
      <c r="U262" s="775">
        <f t="shared" si="866"/>
        <v>0</v>
      </c>
      <c r="W262" s="775"/>
      <c r="Y262" s="775"/>
      <c r="AA262" s="775">
        <f t="shared" si="867"/>
        <v>0</v>
      </c>
      <c r="AC262" s="775"/>
      <c r="AE262" s="775"/>
      <c r="AG262" s="775">
        <f t="shared" si="868"/>
        <v>0</v>
      </c>
      <c r="AI262" s="775"/>
      <c r="AK262" s="970">
        <v>0</v>
      </c>
      <c r="AM262" s="775"/>
      <c r="AO262" s="775">
        <f t="shared" si="869"/>
        <v>0</v>
      </c>
      <c r="AQ262" s="775"/>
      <c r="AS262" s="775"/>
      <c r="AU262" s="775">
        <f t="shared" si="870"/>
        <v>0</v>
      </c>
      <c r="AW262" s="775"/>
      <c r="AY262" s="775"/>
      <c r="BA262" s="775">
        <f t="shared" si="871"/>
        <v>0</v>
      </c>
      <c r="BC262" s="775"/>
      <c r="BE262" s="775"/>
      <c r="BG262" s="775">
        <f t="shared" si="872"/>
        <v>0</v>
      </c>
      <c r="BI262" s="775"/>
      <c r="BK262" s="775"/>
      <c r="BM262" s="775">
        <f t="shared" si="873"/>
        <v>0</v>
      </c>
      <c r="BO262" s="775"/>
      <c r="BQ262" s="970"/>
      <c r="BS262" s="775"/>
      <c r="BU262" s="986">
        <f t="shared" si="874"/>
        <v>0</v>
      </c>
      <c r="BW262" s="775">
        <v>180289</v>
      </c>
      <c r="BZ262" s="970"/>
      <c r="CB262" s="775"/>
      <c r="CD262" s="970"/>
      <c r="CF262" s="775"/>
      <c r="CH262" s="775">
        <f t="shared" si="875"/>
        <v>180289</v>
      </c>
      <c r="CJ262" s="775"/>
      <c r="CL262" s="775"/>
      <c r="CN262" s="775">
        <f t="shared" si="876"/>
        <v>0</v>
      </c>
      <c r="CP262" s="775"/>
      <c r="CR262" s="775"/>
      <c r="CT262" s="775">
        <f t="shared" si="877"/>
        <v>0</v>
      </c>
      <c r="CV262" s="971"/>
      <c r="CW262" s="968"/>
      <c r="CX262" s="971"/>
      <c r="CY262" s="968"/>
      <c r="CZ262" s="971">
        <f t="shared" si="878"/>
        <v>0</v>
      </c>
      <c r="DB262" s="775">
        <v>640248000</v>
      </c>
      <c r="DD262" s="775"/>
      <c r="DF262" s="775">
        <f t="shared" si="879"/>
        <v>640248000</v>
      </c>
      <c r="DH262" s="971"/>
      <c r="DI262" s="968"/>
      <c r="DJ262" s="971"/>
      <c r="DK262" s="968"/>
      <c r="DL262" s="971">
        <f t="shared" si="880"/>
        <v>0</v>
      </c>
      <c r="DN262" s="971"/>
      <c r="DO262" s="968"/>
      <c r="DP262" s="971"/>
      <c r="DQ262" s="968"/>
      <c r="DR262" s="971">
        <f t="shared" si="881"/>
        <v>0</v>
      </c>
      <c r="DT262" s="775">
        <v>658029</v>
      </c>
      <c r="DV262" s="971">
        <v>0</v>
      </c>
      <c r="DX262" s="775"/>
      <c r="DZ262" s="775">
        <f t="shared" si="882"/>
        <v>658029</v>
      </c>
      <c r="EB262" s="775">
        <v>17965311</v>
      </c>
      <c r="ED262" s="972">
        <v>0</v>
      </c>
      <c r="EF262" s="775"/>
      <c r="EH262" s="775">
        <f t="shared" si="883"/>
        <v>17965311</v>
      </c>
      <c r="EJ262" s="775"/>
      <c r="EL262" s="775"/>
      <c r="EN262" s="775">
        <f t="shared" si="884"/>
        <v>0</v>
      </c>
      <c r="EP262" s="775">
        <v>9920</v>
      </c>
      <c r="ER262" s="775"/>
      <c r="ET262" s="775">
        <f t="shared" si="885"/>
        <v>9920</v>
      </c>
      <c r="EV262" s="775">
        <v>377021359</v>
      </c>
      <c r="EX262" s="775"/>
      <c r="EZ262" s="775">
        <f t="shared" si="886"/>
        <v>377021359</v>
      </c>
      <c r="FB262" s="775">
        <v>0</v>
      </c>
      <c r="FD262" s="775"/>
      <c r="FF262" s="775"/>
      <c r="FH262" s="775"/>
      <c r="FJ262" s="775">
        <f t="shared" si="887"/>
        <v>0</v>
      </c>
      <c r="FL262" s="775"/>
      <c r="FN262" s="775"/>
      <c r="FP262" s="775">
        <f t="shared" si="888"/>
        <v>0</v>
      </c>
      <c r="FR262" s="775">
        <v>61628675</v>
      </c>
      <c r="FT262" s="775">
        <v>-1054682</v>
      </c>
      <c r="FV262" s="775">
        <f t="shared" si="889"/>
        <v>60573993</v>
      </c>
      <c r="FX262" s="971"/>
      <c r="FY262" s="968"/>
      <c r="FZ262" s="971"/>
      <c r="GA262" s="968"/>
      <c r="GB262" s="971">
        <f t="shared" si="890"/>
        <v>0</v>
      </c>
      <c r="GC262" s="968"/>
      <c r="GD262" s="971"/>
      <c r="GE262" s="968"/>
      <c r="GF262" s="971"/>
      <c r="GG262" s="968"/>
      <c r="GH262" s="971">
        <v>0</v>
      </c>
      <c r="GK262" s="761">
        <f t="shared" si="891"/>
        <v>1096656901</v>
      </c>
      <c r="GM262" s="761"/>
    </row>
    <row r="263" spans="1:195">
      <c r="B263" s="849"/>
      <c r="D263" s="849" t="s">
        <v>1377</v>
      </c>
      <c r="E263" s="848"/>
      <c r="J263" s="770">
        <v>6</v>
      </c>
      <c r="K263" s="775"/>
      <c r="M263" s="775"/>
      <c r="O263" s="775">
        <f t="shared" si="865"/>
        <v>0</v>
      </c>
      <c r="Q263" s="775"/>
      <c r="S263" s="775"/>
      <c r="U263" s="775">
        <f t="shared" si="866"/>
        <v>0</v>
      </c>
      <c r="W263" s="775"/>
      <c r="Y263" s="775"/>
      <c r="AA263" s="775">
        <f t="shared" si="867"/>
        <v>0</v>
      </c>
      <c r="AC263" s="775"/>
      <c r="AE263" s="775"/>
      <c r="AG263" s="775">
        <f t="shared" si="868"/>
        <v>0</v>
      </c>
      <c r="AI263" s="775"/>
      <c r="AK263" s="970">
        <v>0</v>
      </c>
      <c r="AM263" s="775"/>
      <c r="AO263" s="775">
        <f t="shared" si="869"/>
        <v>0</v>
      </c>
      <c r="AQ263" s="775"/>
      <c r="AS263" s="775"/>
      <c r="AU263" s="775">
        <f t="shared" si="870"/>
        <v>0</v>
      </c>
      <c r="AW263" s="775"/>
      <c r="AY263" s="775"/>
      <c r="BA263" s="775">
        <f t="shared" si="871"/>
        <v>0</v>
      </c>
      <c r="BC263" s="775"/>
      <c r="BE263" s="775"/>
      <c r="BG263" s="775">
        <f t="shared" si="872"/>
        <v>0</v>
      </c>
      <c r="BI263" s="775"/>
      <c r="BK263" s="775"/>
      <c r="BM263" s="775">
        <f t="shared" si="873"/>
        <v>0</v>
      </c>
      <c r="BO263" s="775"/>
      <c r="BQ263" s="970"/>
      <c r="BS263" s="775"/>
      <c r="BU263" s="986">
        <f t="shared" si="874"/>
        <v>0</v>
      </c>
      <c r="BW263" s="775">
        <v>59705</v>
      </c>
      <c r="BZ263" s="970"/>
      <c r="CB263" s="775"/>
      <c r="CD263" s="970"/>
      <c r="CF263" s="775"/>
      <c r="CH263" s="775">
        <f t="shared" si="875"/>
        <v>59705</v>
      </c>
      <c r="CJ263" s="775"/>
      <c r="CL263" s="775"/>
      <c r="CN263" s="775">
        <f t="shared" si="876"/>
        <v>0</v>
      </c>
      <c r="CP263" s="775"/>
      <c r="CR263" s="775"/>
      <c r="CT263" s="775">
        <f t="shared" si="877"/>
        <v>0</v>
      </c>
      <c r="CV263" s="971"/>
      <c r="CW263" s="968"/>
      <c r="CX263" s="971"/>
      <c r="CY263" s="968"/>
      <c r="CZ263" s="971">
        <f t="shared" si="878"/>
        <v>0</v>
      </c>
      <c r="DB263" s="775"/>
      <c r="DD263" s="775"/>
      <c r="DF263" s="775">
        <f t="shared" si="879"/>
        <v>0</v>
      </c>
      <c r="DH263" s="971"/>
      <c r="DI263" s="968"/>
      <c r="DJ263" s="971"/>
      <c r="DK263" s="968"/>
      <c r="DL263" s="971">
        <f t="shared" si="880"/>
        <v>0</v>
      </c>
      <c r="DN263" s="971"/>
      <c r="DO263" s="968"/>
      <c r="DP263" s="971"/>
      <c r="DQ263" s="968"/>
      <c r="DR263" s="971">
        <f t="shared" si="881"/>
        <v>0</v>
      </c>
      <c r="DT263" s="775"/>
      <c r="DV263" s="971">
        <v>0</v>
      </c>
      <c r="DX263" s="775"/>
      <c r="DZ263" s="775">
        <f t="shared" si="882"/>
        <v>0</v>
      </c>
      <c r="EB263" s="775"/>
      <c r="ED263" s="972">
        <v>0</v>
      </c>
      <c r="EF263" s="775"/>
      <c r="EH263" s="775">
        <f t="shared" si="883"/>
        <v>0</v>
      </c>
      <c r="EJ263" s="775"/>
      <c r="EL263" s="775"/>
      <c r="EN263" s="775">
        <f t="shared" si="884"/>
        <v>0</v>
      </c>
      <c r="EP263" s="775"/>
      <c r="ER263" s="775"/>
      <c r="ET263" s="775">
        <f t="shared" si="885"/>
        <v>0</v>
      </c>
      <c r="EV263" s="775"/>
      <c r="EX263" s="775"/>
      <c r="EZ263" s="775">
        <f t="shared" si="886"/>
        <v>0</v>
      </c>
      <c r="FB263" s="775">
        <v>0</v>
      </c>
      <c r="FD263" s="775"/>
      <c r="FF263" s="775"/>
      <c r="FH263" s="775"/>
      <c r="FJ263" s="775">
        <f t="shared" si="887"/>
        <v>0</v>
      </c>
      <c r="FL263" s="775"/>
      <c r="FN263" s="775"/>
      <c r="FP263" s="775">
        <f t="shared" si="888"/>
        <v>0</v>
      </c>
      <c r="FR263" s="775"/>
      <c r="FT263" s="775"/>
      <c r="FV263" s="775">
        <f t="shared" si="889"/>
        <v>0</v>
      </c>
      <c r="FX263" s="971"/>
      <c r="FY263" s="968"/>
      <c r="FZ263" s="971"/>
      <c r="GA263" s="968"/>
      <c r="GB263" s="971">
        <f t="shared" si="890"/>
        <v>0</v>
      </c>
      <c r="GC263" s="968"/>
      <c r="GD263" s="971"/>
      <c r="GE263" s="968"/>
      <c r="GF263" s="971"/>
      <c r="GG263" s="968"/>
      <c r="GH263" s="971">
        <v>0</v>
      </c>
      <c r="GK263" s="761">
        <f t="shared" si="891"/>
        <v>59705</v>
      </c>
      <c r="GM263" s="761"/>
    </row>
    <row r="264" spans="1:195">
      <c r="B264" s="847"/>
      <c r="D264" s="849" t="s">
        <v>31</v>
      </c>
      <c r="E264" s="848"/>
      <c r="J264" s="758">
        <v>7</v>
      </c>
      <c r="K264" s="775">
        <v>0</v>
      </c>
      <c r="M264" s="775"/>
      <c r="O264" s="775">
        <f t="shared" si="865"/>
        <v>0</v>
      </c>
      <c r="Q264" s="775"/>
      <c r="S264" s="775"/>
      <c r="U264" s="775">
        <f t="shared" si="866"/>
        <v>0</v>
      </c>
      <c r="W264" s="775"/>
      <c r="Y264" s="775"/>
      <c r="AA264" s="775">
        <f t="shared" si="867"/>
        <v>0</v>
      </c>
      <c r="AC264" s="775"/>
      <c r="AE264" s="775"/>
      <c r="AG264" s="775">
        <f t="shared" si="868"/>
        <v>0</v>
      </c>
      <c r="AI264" s="775"/>
      <c r="AK264" s="970">
        <v>0</v>
      </c>
      <c r="AM264" s="775"/>
      <c r="AO264" s="775">
        <f t="shared" si="869"/>
        <v>0</v>
      </c>
      <c r="AQ264" s="775"/>
      <c r="AS264" s="775"/>
      <c r="AU264" s="775">
        <f t="shared" si="870"/>
        <v>0</v>
      </c>
      <c r="AW264" s="775"/>
      <c r="AY264" s="775"/>
      <c r="BA264" s="775">
        <f t="shared" si="871"/>
        <v>0</v>
      </c>
      <c r="BC264" s="775"/>
      <c r="BE264" s="775"/>
      <c r="BG264" s="775">
        <f t="shared" si="872"/>
        <v>0</v>
      </c>
      <c r="BI264" s="775"/>
      <c r="BK264" s="775"/>
      <c r="BM264" s="775">
        <f t="shared" si="873"/>
        <v>0</v>
      </c>
      <c r="BO264" s="775"/>
      <c r="BQ264" s="970"/>
      <c r="BS264" s="775"/>
      <c r="BU264" s="986">
        <f t="shared" si="874"/>
        <v>0</v>
      </c>
      <c r="BW264" s="775"/>
      <c r="BZ264" s="970"/>
      <c r="CB264" s="775"/>
      <c r="CD264" s="970"/>
      <c r="CF264" s="775"/>
      <c r="CH264" s="775">
        <f t="shared" si="875"/>
        <v>0</v>
      </c>
      <c r="CJ264" s="775"/>
      <c r="CL264" s="775"/>
      <c r="CN264" s="775">
        <f t="shared" si="876"/>
        <v>0</v>
      </c>
      <c r="CP264" s="775"/>
      <c r="CR264" s="775"/>
      <c r="CT264" s="775">
        <f t="shared" si="877"/>
        <v>0</v>
      </c>
      <c r="CV264" s="971"/>
      <c r="CW264" s="968"/>
      <c r="CX264" s="971"/>
      <c r="CY264" s="968"/>
      <c r="CZ264" s="971">
        <f t="shared" si="878"/>
        <v>0</v>
      </c>
      <c r="DB264" s="775"/>
      <c r="DD264" s="775"/>
      <c r="DF264" s="775">
        <f t="shared" si="879"/>
        <v>0</v>
      </c>
      <c r="DH264" s="971"/>
      <c r="DI264" s="968"/>
      <c r="DJ264" s="971"/>
      <c r="DK264" s="968"/>
      <c r="DL264" s="971">
        <f t="shared" si="880"/>
        <v>0</v>
      </c>
      <c r="DN264" s="971"/>
      <c r="DO264" s="968"/>
      <c r="DP264" s="971"/>
      <c r="DQ264" s="968"/>
      <c r="DR264" s="971">
        <f t="shared" si="881"/>
        <v>0</v>
      </c>
      <c r="DT264" s="775"/>
      <c r="DV264" s="971">
        <v>0</v>
      </c>
      <c r="DX264" s="775"/>
      <c r="DZ264" s="775">
        <f t="shared" si="882"/>
        <v>0</v>
      </c>
      <c r="EB264" s="775"/>
      <c r="ED264" s="972">
        <v>0</v>
      </c>
      <c r="EF264" s="775"/>
      <c r="EH264" s="775">
        <f t="shared" si="883"/>
        <v>0</v>
      </c>
      <c r="EJ264" s="775"/>
      <c r="EL264" s="775"/>
      <c r="EN264" s="775">
        <f t="shared" si="884"/>
        <v>0</v>
      </c>
      <c r="EP264" s="775"/>
      <c r="ER264" s="775"/>
      <c r="ET264" s="775">
        <f t="shared" si="885"/>
        <v>0</v>
      </c>
      <c r="EV264" s="775"/>
      <c r="EX264" s="775"/>
      <c r="EZ264" s="775">
        <f t="shared" si="886"/>
        <v>0</v>
      </c>
      <c r="FB264" s="775">
        <v>0</v>
      </c>
      <c r="FD264" s="775"/>
      <c r="FF264" s="775"/>
      <c r="FH264" s="775"/>
      <c r="FJ264" s="775">
        <f t="shared" si="887"/>
        <v>0</v>
      </c>
      <c r="FL264" s="775"/>
      <c r="FN264" s="775"/>
      <c r="FP264" s="775">
        <f t="shared" si="888"/>
        <v>0</v>
      </c>
      <c r="FR264" s="775"/>
      <c r="FT264" s="775"/>
      <c r="FV264" s="775">
        <f t="shared" si="889"/>
        <v>0</v>
      </c>
      <c r="FX264" s="971"/>
      <c r="FY264" s="968"/>
      <c r="FZ264" s="971"/>
      <c r="GA264" s="968"/>
      <c r="GB264" s="971">
        <f t="shared" si="890"/>
        <v>0</v>
      </c>
      <c r="GC264" s="968"/>
      <c r="GD264" s="971">
        <v>0</v>
      </c>
      <c r="GE264" s="968"/>
      <c r="GF264" s="971"/>
      <c r="GG264" s="968"/>
      <c r="GH264" s="971">
        <v>0</v>
      </c>
      <c r="GK264" s="761">
        <f t="shared" si="891"/>
        <v>0</v>
      </c>
      <c r="GM264" s="761"/>
    </row>
    <row r="265" spans="1:195">
      <c r="B265" s="847"/>
      <c r="D265" s="849" t="s">
        <v>1378</v>
      </c>
      <c r="E265" s="848"/>
      <c r="J265" s="770">
        <v>8</v>
      </c>
      <c r="K265" s="775"/>
      <c r="M265" s="775"/>
      <c r="O265" s="775">
        <f t="shared" si="865"/>
        <v>0</v>
      </c>
      <c r="Q265" s="775"/>
      <c r="S265" s="775"/>
      <c r="U265" s="775">
        <f t="shared" si="866"/>
        <v>0</v>
      </c>
      <c r="W265" s="775"/>
      <c r="Y265" s="775"/>
      <c r="AA265" s="775">
        <f t="shared" si="867"/>
        <v>0</v>
      </c>
      <c r="AC265" s="775"/>
      <c r="AE265" s="775"/>
      <c r="AG265" s="775">
        <f t="shared" si="868"/>
        <v>0</v>
      </c>
      <c r="AI265" s="775"/>
      <c r="AK265" s="970">
        <v>0</v>
      </c>
      <c r="AM265" s="775"/>
      <c r="AO265" s="775">
        <f t="shared" si="869"/>
        <v>0</v>
      </c>
      <c r="AQ265" s="775"/>
      <c r="AS265" s="775"/>
      <c r="AU265" s="775">
        <f t="shared" si="870"/>
        <v>0</v>
      </c>
      <c r="AW265" s="775"/>
      <c r="AY265" s="775"/>
      <c r="BA265" s="775">
        <f t="shared" si="871"/>
        <v>0</v>
      </c>
      <c r="BC265" s="775"/>
      <c r="BE265" s="775"/>
      <c r="BG265" s="775">
        <f t="shared" si="872"/>
        <v>0</v>
      </c>
      <c r="BI265" s="775"/>
      <c r="BK265" s="775"/>
      <c r="BM265" s="775">
        <f t="shared" si="873"/>
        <v>0</v>
      </c>
      <c r="BO265" s="775"/>
      <c r="BQ265" s="970"/>
      <c r="BS265" s="775"/>
      <c r="BU265" s="986">
        <f t="shared" si="874"/>
        <v>0</v>
      </c>
      <c r="BW265" s="775"/>
      <c r="BZ265" s="970"/>
      <c r="CB265" s="775"/>
      <c r="CD265" s="970"/>
      <c r="CF265" s="775"/>
      <c r="CH265" s="775">
        <f t="shared" si="875"/>
        <v>0</v>
      </c>
      <c r="CJ265" s="775"/>
      <c r="CL265" s="775"/>
      <c r="CN265" s="775">
        <f t="shared" si="876"/>
        <v>0</v>
      </c>
      <c r="CP265" s="775"/>
      <c r="CR265" s="775"/>
      <c r="CT265" s="775">
        <f t="shared" si="877"/>
        <v>0</v>
      </c>
      <c r="CV265" s="971"/>
      <c r="CW265" s="968"/>
      <c r="CX265" s="971"/>
      <c r="CY265" s="968"/>
      <c r="CZ265" s="971">
        <f t="shared" si="878"/>
        <v>0</v>
      </c>
      <c r="DB265" s="775"/>
      <c r="DD265" s="775"/>
      <c r="DF265" s="775">
        <f t="shared" si="879"/>
        <v>0</v>
      </c>
      <c r="DH265" s="971"/>
      <c r="DI265" s="968"/>
      <c r="DJ265" s="971"/>
      <c r="DK265" s="968"/>
      <c r="DL265" s="971">
        <f t="shared" si="880"/>
        <v>0</v>
      </c>
      <c r="DN265" s="971"/>
      <c r="DO265" s="968"/>
      <c r="DP265" s="971"/>
      <c r="DQ265" s="968"/>
      <c r="DR265" s="971">
        <f t="shared" si="881"/>
        <v>0</v>
      </c>
      <c r="DT265" s="775"/>
      <c r="DV265" s="971">
        <v>0</v>
      </c>
      <c r="DX265" s="775"/>
      <c r="DZ265" s="775">
        <f t="shared" si="882"/>
        <v>0</v>
      </c>
      <c r="EB265" s="775"/>
      <c r="ED265" s="972">
        <v>0</v>
      </c>
      <c r="EF265" s="775"/>
      <c r="EH265" s="775">
        <f t="shared" si="883"/>
        <v>0</v>
      </c>
      <c r="EJ265" s="775"/>
      <c r="EL265" s="775"/>
      <c r="EN265" s="775">
        <f t="shared" si="884"/>
        <v>0</v>
      </c>
      <c r="EP265" s="775"/>
      <c r="ER265" s="775"/>
      <c r="ET265" s="775">
        <f t="shared" si="885"/>
        <v>0</v>
      </c>
      <c r="EV265" s="775"/>
      <c r="EX265" s="775"/>
      <c r="EZ265" s="775">
        <f t="shared" si="886"/>
        <v>0</v>
      </c>
      <c r="FB265" s="775">
        <v>0</v>
      </c>
      <c r="FD265" s="775"/>
      <c r="FF265" s="775"/>
      <c r="FH265" s="775"/>
      <c r="FJ265" s="775">
        <f t="shared" si="887"/>
        <v>0</v>
      </c>
      <c r="FL265" s="775"/>
      <c r="FN265" s="775"/>
      <c r="FP265" s="775">
        <f t="shared" si="888"/>
        <v>0</v>
      </c>
      <c r="FR265" s="775">
        <v>233484437</v>
      </c>
      <c r="FT265" s="775"/>
      <c r="FV265" s="775">
        <f t="shared" si="889"/>
        <v>233484437</v>
      </c>
      <c r="FX265" s="971"/>
      <c r="FY265" s="968"/>
      <c r="FZ265" s="971"/>
      <c r="GA265" s="968"/>
      <c r="GB265" s="971">
        <f t="shared" si="890"/>
        <v>0</v>
      </c>
      <c r="GC265" s="968"/>
      <c r="GD265" s="971"/>
      <c r="GE265" s="968"/>
      <c r="GF265" s="971"/>
      <c r="GG265" s="968"/>
      <c r="GH265" s="971">
        <v>0</v>
      </c>
      <c r="GK265" s="761">
        <f t="shared" si="891"/>
        <v>233484437</v>
      </c>
      <c r="GM265" s="761"/>
    </row>
    <row r="266" spans="1:195" ht="21.75" customHeight="1">
      <c r="B266" s="849"/>
      <c r="D266" s="849" t="s">
        <v>1732</v>
      </c>
      <c r="E266" s="998"/>
      <c r="J266" s="758">
        <v>9</v>
      </c>
      <c r="K266" s="777">
        <f>SUM(K261:K265)</f>
        <v>0</v>
      </c>
      <c r="M266" s="777">
        <f>SUM(M261:M265)</f>
        <v>0</v>
      </c>
      <c r="O266" s="777">
        <f>SUM(O261:O265)</f>
        <v>0</v>
      </c>
      <c r="Q266" s="777">
        <f>SUM(Q261:Q265)</f>
        <v>6951651</v>
      </c>
      <c r="S266" s="777">
        <f>SUM(S261:S265)</f>
        <v>0</v>
      </c>
      <c r="U266" s="777">
        <f>SUM(U261:U265)</f>
        <v>6951651</v>
      </c>
      <c r="W266" s="777">
        <f>SUM(W261:W265)</f>
        <v>0</v>
      </c>
      <c r="Y266" s="777">
        <f>SUM(Y261:Y265)</f>
        <v>0</v>
      </c>
      <c r="AA266" s="777">
        <f>SUM(AA261:AA265)</f>
        <v>0</v>
      </c>
      <c r="AC266" s="777">
        <f>SUM(AC261:AC265)</f>
        <v>0</v>
      </c>
      <c r="AE266" s="777">
        <f>SUM(AE261:AE265)</f>
        <v>0</v>
      </c>
      <c r="AG266" s="777">
        <f>SUM(AG261:AG265)</f>
        <v>0</v>
      </c>
      <c r="AI266" s="777">
        <f>SUM(AI261:AI265)</f>
        <v>0</v>
      </c>
      <c r="AK266" s="974">
        <f>SUM(AK261:AK265)</f>
        <v>0</v>
      </c>
      <c r="AM266" s="777">
        <f>SUM(AM261:AM265)</f>
        <v>0</v>
      </c>
      <c r="AO266" s="777">
        <f>SUM(AO261:AO265)</f>
        <v>0</v>
      </c>
      <c r="AQ266" s="777">
        <f>SUM(AQ261:AQ265)</f>
        <v>0</v>
      </c>
      <c r="AS266" s="777">
        <f>SUM(AS261:AS265)</f>
        <v>0</v>
      </c>
      <c r="AU266" s="777">
        <f>SUM(AU261:AU265)</f>
        <v>0</v>
      </c>
      <c r="AW266" s="777">
        <f>SUM(AW261:AW265)</f>
        <v>0</v>
      </c>
      <c r="AY266" s="777">
        <f>SUM(AY261:AY265)</f>
        <v>0</v>
      </c>
      <c r="BA266" s="777">
        <f>SUM(BA261:BA265)</f>
        <v>0</v>
      </c>
      <c r="BC266" s="777">
        <f>SUM(BC261:BC265)</f>
        <v>811100</v>
      </c>
      <c r="BE266" s="777">
        <f>SUM(BE261:BE265)</f>
        <v>0</v>
      </c>
      <c r="BG266" s="777">
        <f>SUM(BG261:BG265)</f>
        <v>811100</v>
      </c>
      <c r="BI266" s="777">
        <f>SUM(BI261:BI265)</f>
        <v>0</v>
      </c>
      <c r="BK266" s="777">
        <f>SUM(BK261:BK265)</f>
        <v>0</v>
      </c>
      <c r="BM266" s="777">
        <f>SUM(BM261:BM265)</f>
        <v>0</v>
      </c>
      <c r="BO266" s="777">
        <f>SUM(BO261:BO265)</f>
        <v>0</v>
      </c>
      <c r="BQ266" s="974">
        <f>SUM(BQ261:BQ265)</f>
        <v>0</v>
      </c>
      <c r="BS266" s="777">
        <f>SUM(BS261:BS265)</f>
        <v>0</v>
      </c>
      <c r="BU266" s="777">
        <f>SUM(BU261:BU265)</f>
        <v>0</v>
      </c>
      <c r="BW266" s="777">
        <f>SUM(BW261:BW265)</f>
        <v>239994</v>
      </c>
      <c r="BZ266" s="974">
        <f>SUM(BZ261:BZ265)</f>
        <v>0</v>
      </c>
      <c r="CB266" s="777">
        <f>SUM(CB261:CB265)</f>
        <v>0</v>
      </c>
      <c r="CD266" s="974">
        <f>SUM(CD261:CD265)</f>
        <v>0</v>
      </c>
      <c r="CF266" s="777">
        <f>SUM(CF261:CF265)</f>
        <v>0</v>
      </c>
      <c r="CH266" s="777">
        <f>SUM(CH261:CH265)</f>
        <v>239994</v>
      </c>
      <c r="CJ266" s="777">
        <f>SUM(CJ261:CJ265)</f>
        <v>0</v>
      </c>
      <c r="CL266" s="777">
        <f>SUM(CL261:CL265)</f>
        <v>0</v>
      </c>
      <c r="CN266" s="777">
        <f>SUM(CN261:CN265)</f>
        <v>0</v>
      </c>
      <c r="CP266" s="777">
        <f>SUM(CP261:CP265)</f>
        <v>0</v>
      </c>
      <c r="CR266" s="777">
        <f>SUM(CR261:CR265)</f>
        <v>0</v>
      </c>
      <c r="CT266" s="777">
        <f>SUM(CT261:CT265)</f>
        <v>0</v>
      </c>
      <c r="CV266" s="975">
        <f>SUM(CV261:CV265)</f>
        <v>0</v>
      </c>
      <c r="CW266" s="968"/>
      <c r="CX266" s="975">
        <f>SUM(CX261:CX265)</f>
        <v>0</v>
      </c>
      <c r="CY266" s="968"/>
      <c r="CZ266" s="975">
        <f>SUM(CZ261:CZ265)</f>
        <v>0</v>
      </c>
      <c r="DB266" s="777">
        <f>SUM(DB261:DB265)</f>
        <v>704446000</v>
      </c>
      <c r="DD266" s="777">
        <f>SUM(DD261:DD265)</f>
        <v>0</v>
      </c>
      <c r="DF266" s="777">
        <f>SUM(DF261:DF265)</f>
        <v>704446000</v>
      </c>
      <c r="DH266" s="975">
        <f>SUM(DH261:DH265)</f>
        <v>0</v>
      </c>
      <c r="DI266" s="968"/>
      <c r="DJ266" s="975">
        <f>SUM(DJ261:DJ265)</f>
        <v>0</v>
      </c>
      <c r="DK266" s="968"/>
      <c r="DL266" s="975">
        <f>SUM(DL261:DL265)</f>
        <v>0</v>
      </c>
      <c r="DN266" s="975">
        <f>SUM(DN261:DN265)</f>
        <v>0</v>
      </c>
      <c r="DO266" s="968"/>
      <c r="DP266" s="975">
        <f>SUM(DP261:DP265)</f>
        <v>0</v>
      </c>
      <c r="DQ266" s="968"/>
      <c r="DR266" s="975">
        <f>SUM(DR261:DR265)</f>
        <v>0</v>
      </c>
      <c r="DT266" s="777">
        <f>SUM(DT261:DT265)</f>
        <v>4027475</v>
      </c>
      <c r="DV266" s="975">
        <f>SUM(DV261:DV265)</f>
        <v>0</v>
      </c>
      <c r="DX266" s="777">
        <f>SUM(DX261:DX265)</f>
        <v>0</v>
      </c>
      <c r="DZ266" s="777">
        <f>SUM(DZ261:DZ265)</f>
        <v>4027475</v>
      </c>
      <c r="EB266" s="777">
        <f>SUM(EB261:EB265)</f>
        <v>18515311</v>
      </c>
      <c r="ED266" s="976">
        <f>SUM(ED261:ED265)</f>
        <v>0</v>
      </c>
      <c r="EF266" s="777">
        <f>SUM(EF261:EF265)</f>
        <v>0</v>
      </c>
      <c r="EH266" s="777">
        <f>SUM(EH261:EH265)</f>
        <v>18515311</v>
      </c>
      <c r="EJ266" s="777">
        <f>SUM(EJ261:EJ265)</f>
        <v>0</v>
      </c>
      <c r="EL266" s="777">
        <f>SUM(EL261:EL265)</f>
        <v>0</v>
      </c>
      <c r="EN266" s="777">
        <f>SUM(EN261:EN265)</f>
        <v>0</v>
      </c>
      <c r="EP266" s="777">
        <f>SUM(EP261:EP265)</f>
        <v>2945735</v>
      </c>
      <c r="ER266" s="777">
        <f>SUM(ER261:ER265)</f>
        <v>0</v>
      </c>
      <c r="ET266" s="777">
        <f>SUM(ET261:ET265)</f>
        <v>2945735</v>
      </c>
      <c r="EV266" s="777">
        <f>SUM(EV261:EV265)</f>
        <v>481492456</v>
      </c>
      <c r="EX266" s="777">
        <f>SUM(EX261:EX265)</f>
        <v>0</v>
      </c>
      <c r="EZ266" s="777">
        <f>SUM(EZ261:EZ265)</f>
        <v>481492456</v>
      </c>
      <c r="FB266" s="777">
        <f>SUM(FB261:FB265)</f>
        <v>0</v>
      </c>
      <c r="FD266" s="777">
        <f>SUM(FD261:FD265)</f>
        <v>0</v>
      </c>
      <c r="FF266" s="777">
        <f>SUM(FF261:FF265)</f>
        <v>0</v>
      </c>
      <c r="FH266" s="777">
        <f>SUM(FH261:FH265)</f>
        <v>0</v>
      </c>
      <c r="FJ266" s="777">
        <f>SUM(FJ261:FJ265)</f>
        <v>0</v>
      </c>
      <c r="FL266" s="777">
        <f>SUM(FL261:FL265)</f>
        <v>0</v>
      </c>
      <c r="FN266" s="777">
        <f>SUM(FN261:FN265)</f>
        <v>0</v>
      </c>
      <c r="FP266" s="777">
        <f>SUM(FP261:FP265)</f>
        <v>0</v>
      </c>
      <c r="FR266" s="777">
        <f>SUM(FR261:FR265)</f>
        <v>592616379</v>
      </c>
      <c r="FT266" s="777">
        <f>SUM(FT261:FT265)</f>
        <v>-1054682</v>
      </c>
      <c r="FV266" s="777">
        <f>SUM(FV261:FV265)</f>
        <v>591561697</v>
      </c>
      <c r="FX266" s="975">
        <f>SUM(FX261:FX265)</f>
        <v>0</v>
      </c>
      <c r="FY266" s="968"/>
      <c r="FZ266" s="975">
        <f>SUM(FZ261:FZ265)</f>
        <v>0</v>
      </c>
      <c r="GA266" s="968"/>
      <c r="GB266" s="975">
        <f>SUM(GB261:GB265)</f>
        <v>0</v>
      </c>
      <c r="GC266" s="968"/>
      <c r="GD266" s="975">
        <v>0</v>
      </c>
      <c r="GE266" s="968"/>
      <c r="GF266" s="975">
        <v>0</v>
      </c>
      <c r="GG266" s="968"/>
      <c r="GH266" s="975">
        <v>0</v>
      </c>
      <c r="GK266" s="761">
        <f t="shared" si="891"/>
        <v>1810991419</v>
      </c>
      <c r="GM266" s="761"/>
    </row>
    <row r="267" spans="1:195" ht="22.5" customHeight="1">
      <c r="E267" s="998"/>
      <c r="J267" s="770">
        <v>10</v>
      </c>
      <c r="BQ267" s="952"/>
      <c r="BW267" s="761"/>
      <c r="BZ267" s="952"/>
      <c r="CB267" s="761"/>
      <c r="CD267" s="952"/>
      <c r="CP267" s="761"/>
      <c r="CV267" s="977"/>
      <c r="CW267" s="968"/>
      <c r="CX267" s="977"/>
      <c r="CY267" s="968"/>
      <c r="CZ267" s="977"/>
      <c r="DB267" s="761"/>
      <c r="DH267" s="977"/>
      <c r="DI267" s="968"/>
      <c r="DJ267" s="977"/>
      <c r="DK267" s="968"/>
      <c r="DL267" s="977"/>
      <c r="DN267" s="977"/>
      <c r="DO267" s="968"/>
      <c r="DP267" s="977"/>
      <c r="DQ267" s="968"/>
      <c r="DR267" s="977"/>
      <c r="DT267" s="761"/>
      <c r="DV267" s="977"/>
      <c r="EB267" s="761"/>
      <c r="ED267" s="978"/>
      <c r="EJ267" s="761"/>
      <c r="EP267" s="761"/>
      <c r="EV267" s="761"/>
      <c r="FB267" s="761"/>
      <c r="FD267" s="761"/>
      <c r="FX267" s="977"/>
      <c r="FY267" s="968"/>
      <c r="FZ267" s="977"/>
      <c r="GA267" s="968"/>
      <c r="GB267" s="977"/>
      <c r="GC267" s="968"/>
      <c r="GD267" s="977"/>
      <c r="GE267" s="968"/>
      <c r="GF267" s="977"/>
      <c r="GG267" s="968"/>
      <c r="GH267" s="977"/>
    </row>
    <row r="268" spans="1:195">
      <c r="E268" s="999"/>
      <c r="H268" s="849"/>
      <c r="J268" s="758">
        <v>11</v>
      </c>
      <c r="BQ268" s="952"/>
      <c r="BW268" s="761"/>
      <c r="BZ268" s="952"/>
      <c r="CB268" s="761"/>
      <c r="CD268" s="952"/>
      <c r="CP268" s="761"/>
      <c r="CV268" s="977"/>
      <c r="CW268" s="968"/>
      <c r="CX268" s="977"/>
      <c r="CY268" s="968"/>
      <c r="CZ268" s="977"/>
      <c r="DB268" s="761"/>
      <c r="DH268" s="977"/>
      <c r="DI268" s="968"/>
      <c r="DJ268" s="977"/>
      <c r="DK268" s="968"/>
      <c r="DL268" s="977"/>
      <c r="DN268" s="977"/>
      <c r="DO268" s="968"/>
      <c r="DP268" s="977"/>
      <c r="DQ268" s="968"/>
      <c r="DR268" s="977"/>
      <c r="DT268" s="761"/>
      <c r="DV268" s="977"/>
      <c r="EB268" s="761"/>
      <c r="ED268" s="978"/>
      <c r="EJ268" s="761"/>
      <c r="EP268" s="761"/>
      <c r="EV268" s="761"/>
      <c r="FB268" s="761"/>
      <c r="FD268" s="761"/>
      <c r="FX268" s="977"/>
      <c r="FY268" s="968"/>
      <c r="FZ268" s="977"/>
      <c r="GA268" s="968"/>
      <c r="GB268" s="977"/>
      <c r="GC268" s="968"/>
      <c r="GD268" s="977"/>
      <c r="GE268" s="968"/>
      <c r="GF268" s="977"/>
      <c r="GG268" s="968"/>
      <c r="GH268" s="977"/>
    </row>
    <row r="269" spans="1:195">
      <c r="A269" s="849"/>
      <c r="D269" s="849" t="s">
        <v>1389</v>
      </c>
      <c r="E269" s="849"/>
      <c r="J269" s="770">
        <v>12</v>
      </c>
      <c r="BQ269" s="952"/>
      <c r="BW269" s="761"/>
      <c r="BZ269" s="952"/>
      <c r="CB269" s="761"/>
      <c r="CD269" s="952"/>
      <c r="CP269" s="761"/>
      <c r="CV269" s="977"/>
      <c r="CW269" s="968"/>
      <c r="CX269" s="977"/>
      <c r="CY269" s="968"/>
      <c r="CZ269" s="977"/>
      <c r="DB269" s="761"/>
      <c r="DH269" s="977"/>
      <c r="DI269" s="968"/>
      <c r="DJ269" s="977"/>
      <c r="DK269" s="968"/>
      <c r="DL269" s="977"/>
      <c r="DN269" s="977"/>
      <c r="DO269" s="968"/>
      <c r="DP269" s="977"/>
      <c r="DQ269" s="968"/>
      <c r="DR269" s="977"/>
      <c r="DT269" s="761"/>
      <c r="DV269" s="977"/>
      <c r="EB269" s="761"/>
      <c r="ED269" s="978"/>
      <c r="EJ269" s="761"/>
      <c r="EP269" s="761"/>
      <c r="EV269" s="761"/>
      <c r="FB269" s="761"/>
      <c r="FD269" s="761"/>
      <c r="FX269" s="977"/>
      <c r="FY269" s="968"/>
      <c r="FZ269" s="977"/>
      <c r="GA269" s="968"/>
      <c r="GB269" s="977"/>
      <c r="GC269" s="968"/>
      <c r="GD269" s="977"/>
      <c r="GE269" s="968"/>
      <c r="GF269" s="977"/>
      <c r="GG269" s="968"/>
      <c r="GH269" s="977"/>
    </row>
    <row r="270" spans="1:195" ht="10.5" customHeight="1">
      <c r="B270" s="849"/>
      <c r="D270" s="849" t="s">
        <v>635</v>
      </c>
      <c r="E270" s="849"/>
      <c r="J270" s="758">
        <v>13</v>
      </c>
      <c r="K270" s="775"/>
      <c r="M270" s="775"/>
      <c r="O270" s="775">
        <f t="shared" ref="O270:O279" si="892">K270+M270</f>
        <v>0</v>
      </c>
      <c r="Q270" s="775">
        <v>1142785</v>
      </c>
      <c r="S270" s="775"/>
      <c r="U270" s="775">
        <f t="shared" ref="U270:U274" si="893">Q270+S270</f>
        <v>1142785</v>
      </c>
      <c r="W270" s="775"/>
      <c r="Y270" s="775"/>
      <c r="AA270" s="775">
        <f t="shared" ref="AA270:AA274" si="894">W270+Y270</f>
        <v>0</v>
      </c>
      <c r="AC270" s="775"/>
      <c r="AE270" s="775"/>
      <c r="AG270" s="775">
        <f t="shared" ref="AG270:AG274" si="895">AC270+AE270</f>
        <v>0</v>
      </c>
      <c r="AI270" s="775">
        <v>1323975</v>
      </c>
      <c r="AK270" s="970">
        <v>0</v>
      </c>
      <c r="AM270" s="775"/>
      <c r="AO270" s="775">
        <f t="shared" ref="AO270:AO279" si="896">AI270+AM270</f>
        <v>1323975</v>
      </c>
      <c r="AQ270" s="775"/>
      <c r="AS270" s="775"/>
      <c r="AU270" s="775">
        <f t="shared" ref="AU270:AU279" si="897">AQ270+AS270</f>
        <v>0</v>
      </c>
      <c r="AW270" s="775"/>
      <c r="AY270" s="775"/>
      <c r="BA270" s="775">
        <f t="shared" ref="BA270:BA274" si="898">AW270+AY270</f>
        <v>0</v>
      </c>
      <c r="BC270" s="775">
        <v>687200</v>
      </c>
      <c r="BE270" s="775"/>
      <c r="BG270" s="775">
        <f t="shared" ref="BG270:BG274" si="899">BC270+BE270</f>
        <v>687200</v>
      </c>
      <c r="BI270" s="775"/>
      <c r="BK270" s="775"/>
      <c r="BM270" s="775">
        <f t="shared" ref="BM270:BM274" si="900">BI270+BK270</f>
        <v>0</v>
      </c>
      <c r="BO270" s="775"/>
      <c r="BQ270" s="970"/>
      <c r="BS270" s="775"/>
      <c r="BU270" s="775">
        <f t="shared" ref="BU270:BU279" si="901">BO270+BS270</f>
        <v>0</v>
      </c>
      <c r="BW270" s="775"/>
      <c r="BZ270" s="970"/>
      <c r="CB270" s="775"/>
      <c r="CD270" s="970"/>
      <c r="CF270" s="775"/>
      <c r="CH270" s="775">
        <f t="shared" ref="CH270:CH279" si="902">BW270+CF270</f>
        <v>0</v>
      </c>
      <c r="CJ270" s="775"/>
      <c r="CL270" s="775"/>
      <c r="CN270" s="775">
        <f t="shared" ref="CN270:CN279" si="903">CJ270+CL270</f>
        <v>0</v>
      </c>
      <c r="CP270" s="775"/>
      <c r="CR270" s="775"/>
      <c r="CT270" s="775">
        <f t="shared" ref="CT270:CT274" si="904">CP270+CR270</f>
        <v>0</v>
      </c>
      <c r="CV270" s="971"/>
      <c r="CW270" s="968"/>
      <c r="CX270" s="971"/>
      <c r="CY270" s="968"/>
      <c r="CZ270" s="971">
        <f t="shared" ref="CZ270:CZ274" si="905">CV270+CX270</f>
        <v>0</v>
      </c>
      <c r="DB270" s="775">
        <v>69759000</v>
      </c>
      <c r="DD270" s="775"/>
      <c r="DF270" s="775">
        <f t="shared" ref="DF270:DF274" si="906">DB270+DD270</f>
        <v>69759000</v>
      </c>
      <c r="DH270" s="971"/>
      <c r="DI270" s="968"/>
      <c r="DJ270" s="971"/>
      <c r="DK270" s="968"/>
      <c r="DL270" s="971">
        <f t="shared" ref="DL270:DL274" si="907">DH270+DJ270</f>
        <v>0</v>
      </c>
      <c r="DN270" s="971"/>
      <c r="DO270" s="968"/>
      <c r="DP270" s="971"/>
      <c r="DQ270" s="968"/>
      <c r="DR270" s="971">
        <f t="shared" ref="DR270:DR274" si="908">DN270+DP270</f>
        <v>0</v>
      </c>
      <c r="DT270" s="775"/>
      <c r="DV270" s="971">
        <v>0</v>
      </c>
      <c r="DX270" s="775"/>
      <c r="DZ270" s="775">
        <f t="shared" ref="DZ270:DZ279" si="909">DT270+DX270</f>
        <v>0</v>
      </c>
      <c r="EB270" s="775">
        <v>38884331</v>
      </c>
      <c r="ED270" s="972"/>
      <c r="EF270" s="775"/>
      <c r="EH270" s="775">
        <f t="shared" ref="EH270:EH274" si="910">EB270+EF270</f>
        <v>38884331</v>
      </c>
      <c r="EJ270" s="775"/>
      <c r="EL270" s="775"/>
      <c r="EN270" s="775">
        <f t="shared" ref="EN270:EN279" si="911">EJ270+EL270</f>
        <v>0</v>
      </c>
      <c r="EP270" s="775">
        <v>38428721</v>
      </c>
      <c r="ER270" s="775"/>
      <c r="ET270" s="775">
        <f t="shared" ref="ET270:ET274" si="912">EP270+ER270</f>
        <v>38428721</v>
      </c>
      <c r="EV270" s="775">
        <v>105709578</v>
      </c>
      <c r="EX270" s="775"/>
      <c r="EZ270" s="775">
        <f t="shared" ref="EZ270:EZ274" si="913">EV270+EX270</f>
        <v>105709578</v>
      </c>
      <c r="FB270" s="775"/>
      <c r="FD270" s="775"/>
      <c r="FF270" s="775"/>
      <c r="FH270" s="775"/>
      <c r="FJ270" s="775">
        <f t="shared" ref="FJ270:FJ274" si="914">FF270+FH270</f>
        <v>0</v>
      </c>
      <c r="FL270" s="775"/>
      <c r="FN270" s="775"/>
      <c r="FP270" s="775">
        <f t="shared" ref="FP270:FP274" si="915">FL270+FN270</f>
        <v>0</v>
      </c>
      <c r="FR270" s="775"/>
      <c r="FT270" s="775"/>
      <c r="FV270" s="775">
        <f t="shared" ref="FV270:FV274" si="916">FR270+FT270</f>
        <v>0</v>
      </c>
      <c r="FX270" s="971"/>
      <c r="FY270" s="968"/>
      <c r="FZ270" s="971"/>
      <c r="GA270" s="968"/>
      <c r="GB270" s="971">
        <f t="shared" ref="GB270:GB279" si="917">FX270+FZ270</f>
        <v>0</v>
      </c>
      <c r="GC270" s="968"/>
      <c r="GD270" s="971"/>
      <c r="GE270" s="968"/>
      <c r="GF270" s="971"/>
      <c r="GG270" s="968"/>
      <c r="GH270" s="971">
        <v>0</v>
      </c>
      <c r="GK270" s="761">
        <f>O270+U270+AA270+AG270+AO270+AU270+BA270+BG270+BM270+BU270+CH270+CN270+CT270+DF270+DZ270+EH270+EN270+ET270+EZ270+FJ270+FP270+FV270</f>
        <v>255935590</v>
      </c>
      <c r="GM270" s="761"/>
    </row>
    <row r="271" spans="1:195">
      <c r="B271" s="849"/>
      <c r="D271" s="849" t="s">
        <v>636</v>
      </c>
      <c r="E271" s="849"/>
      <c r="J271" s="770">
        <v>14</v>
      </c>
      <c r="K271" s="775"/>
      <c r="M271" s="775"/>
      <c r="O271" s="775">
        <f t="shared" si="892"/>
        <v>0</v>
      </c>
      <c r="Q271" s="775"/>
      <c r="S271" s="775"/>
      <c r="U271" s="775">
        <f t="shared" si="893"/>
        <v>0</v>
      </c>
      <c r="W271" s="775"/>
      <c r="Y271" s="775"/>
      <c r="AA271" s="775">
        <f t="shared" si="894"/>
        <v>0</v>
      </c>
      <c r="AC271" s="775"/>
      <c r="AE271" s="775"/>
      <c r="AG271" s="775">
        <f t="shared" si="895"/>
        <v>0</v>
      </c>
      <c r="AI271" s="776"/>
      <c r="AK271" s="970">
        <v>0</v>
      </c>
      <c r="AM271" s="775"/>
      <c r="AO271" s="775">
        <f t="shared" si="896"/>
        <v>0</v>
      </c>
      <c r="AQ271" s="775"/>
      <c r="AS271" s="775"/>
      <c r="AU271" s="775">
        <f t="shared" si="897"/>
        <v>0</v>
      </c>
      <c r="AW271" s="775"/>
      <c r="AY271" s="775"/>
      <c r="BA271" s="775">
        <f t="shared" si="898"/>
        <v>0</v>
      </c>
      <c r="BC271" s="775"/>
      <c r="BE271" s="775"/>
      <c r="BG271" s="775">
        <f t="shared" si="899"/>
        <v>0</v>
      </c>
      <c r="BI271" s="775"/>
      <c r="BK271" s="775"/>
      <c r="BM271" s="775">
        <f t="shared" si="900"/>
        <v>0</v>
      </c>
      <c r="BO271" s="775"/>
      <c r="BQ271" s="970"/>
      <c r="BS271" s="775"/>
      <c r="BU271" s="775">
        <f t="shared" si="901"/>
        <v>0</v>
      </c>
      <c r="BW271" s="776"/>
      <c r="BZ271" s="970"/>
      <c r="CB271" s="775"/>
      <c r="CD271" s="970"/>
      <c r="CF271" s="775"/>
      <c r="CH271" s="775">
        <f t="shared" si="902"/>
        <v>0</v>
      </c>
      <c r="CJ271" s="775"/>
      <c r="CL271" s="775"/>
      <c r="CN271" s="775">
        <f t="shared" si="903"/>
        <v>0</v>
      </c>
      <c r="CP271" s="775"/>
      <c r="CR271" s="775"/>
      <c r="CT271" s="775">
        <f t="shared" si="904"/>
        <v>0</v>
      </c>
      <c r="CV271" s="971"/>
      <c r="CW271" s="968"/>
      <c r="CX271" s="971"/>
      <c r="CY271" s="968"/>
      <c r="CZ271" s="971">
        <f t="shared" si="905"/>
        <v>0</v>
      </c>
      <c r="DB271" s="775">
        <v>2294598000</v>
      </c>
      <c r="DD271" s="775"/>
      <c r="DF271" s="775">
        <f t="shared" si="906"/>
        <v>2294598000</v>
      </c>
      <c r="DH271" s="971"/>
      <c r="DI271" s="968"/>
      <c r="DJ271" s="971"/>
      <c r="DK271" s="968"/>
      <c r="DL271" s="971">
        <f t="shared" si="907"/>
        <v>0</v>
      </c>
      <c r="DN271" s="971"/>
      <c r="DO271" s="968"/>
      <c r="DP271" s="971"/>
      <c r="DQ271" s="968"/>
      <c r="DR271" s="971">
        <f t="shared" si="908"/>
        <v>0</v>
      </c>
      <c r="DT271" s="776"/>
      <c r="DV271" s="971">
        <v>0</v>
      </c>
      <c r="DX271" s="775"/>
      <c r="DZ271" s="775">
        <f t="shared" si="909"/>
        <v>0</v>
      </c>
      <c r="EB271" s="775">
        <v>146698146</v>
      </c>
      <c r="ED271" s="972"/>
      <c r="EF271" s="775"/>
      <c r="EH271" s="775">
        <f t="shared" si="910"/>
        <v>146698146</v>
      </c>
      <c r="EJ271" s="775"/>
      <c r="EL271" s="775"/>
      <c r="EN271" s="775">
        <f t="shared" si="911"/>
        <v>0</v>
      </c>
      <c r="EP271" s="775"/>
      <c r="ER271" s="775"/>
      <c r="ET271" s="775">
        <f t="shared" si="912"/>
        <v>0</v>
      </c>
      <c r="EV271" s="775">
        <v>1005060942</v>
      </c>
      <c r="EX271" s="775"/>
      <c r="EZ271" s="775">
        <f t="shared" si="913"/>
        <v>1005060942</v>
      </c>
      <c r="FB271" s="775"/>
      <c r="FD271" s="775"/>
      <c r="FF271" s="775"/>
      <c r="FH271" s="775"/>
      <c r="FJ271" s="775">
        <f t="shared" si="914"/>
        <v>0</v>
      </c>
      <c r="FL271" s="775"/>
      <c r="FN271" s="775"/>
      <c r="FP271" s="775">
        <f t="shared" si="915"/>
        <v>0</v>
      </c>
      <c r="FR271" s="775">
        <v>59672602</v>
      </c>
      <c r="FT271" s="775"/>
      <c r="FV271" s="775">
        <f t="shared" si="916"/>
        <v>59672602</v>
      </c>
      <c r="FX271" s="971"/>
      <c r="FY271" s="968"/>
      <c r="FZ271" s="971"/>
      <c r="GA271" s="968"/>
      <c r="GB271" s="971">
        <f t="shared" si="917"/>
        <v>0</v>
      </c>
      <c r="GC271" s="968"/>
      <c r="GD271" s="971"/>
      <c r="GE271" s="968"/>
      <c r="GF271" s="971"/>
      <c r="GG271" s="968"/>
      <c r="GH271" s="971">
        <v>0</v>
      </c>
      <c r="GK271" s="761">
        <f>O271+U271+AA271+AG271+AO271+AU271+BA271+BG271+BM271+BU271+CH271+CN271+CT271+DF271+DZ271+EH271+EN271+ET271+EZ271+FJ271+FP271+FV271</f>
        <v>3506029690</v>
      </c>
      <c r="GM271" s="761"/>
    </row>
    <row r="272" spans="1:195">
      <c r="B272" s="849"/>
      <c r="D272" s="849" t="s">
        <v>637</v>
      </c>
      <c r="E272" s="849"/>
      <c r="J272" s="758">
        <v>15</v>
      </c>
      <c r="K272" s="775"/>
      <c r="M272" s="775"/>
      <c r="O272" s="775">
        <f t="shared" si="892"/>
        <v>0</v>
      </c>
      <c r="Q272" s="775">
        <v>537258</v>
      </c>
      <c r="S272" s="775"/>
      <c r="U272" s="775">
        <f t="shared" si="893"/>
        <v>537258</v>
      </c>
      <c r="W272" s="775"/>
      <c r="Y272" s="775"/>
      <c r="AA272" s="775">
        <f t="shared" si="894"/>
        <v>0</v>
      </c>
      <c r="AC272" s="775"/>
      <c r="AE272" s="775"/>
      <c r="AG272" s="775">
        <f t="shared" si="895"/>
        <v>0</v>
      </c>
      <c r="AI272" s="775">
        <v>3643790</v>
      </c>
      <c r="AK272" s="970">
        <v>0</v>
      </c>
      <c r="AM272" s="775"/>
      <c r="AO272" s="775">
        <f t="shared" si="896"/>
        <v>3643790</v>
      </c>
      <c r="AQ272" s="775"/>
      <c r="AS272" s="775"/>
      <c r="AU272" s="775">
        <f t="shared" si="897"/>
        <v>0</v>
      </c>
      <c r="AW272" s="775"/>
      <c r="AY272" s="775"/>
      <c r="BA272" s="775">
        <f t="shared" si="898"/>
        <v>0</v>
      </c>
      <c r="BC272" s="775">
        <v>903066</v>
      </c>
      <c r="BE272" s="775"/>
      <c r="BG272" s="775">
        <f t="shared" si="899"/>
        <v>903066</v>
      </c>
      <c r="BI272" s="775"/>
      <c r="BK272" s="775"/>
      <c r="BM272" s="775">
        <f t="shared" si="900"/>
        <v>0</v>
      </c>
      <c r="BO272" s="775"/>
      <c r="BQ272" s="970"/>
      <c r="BS272" s="775"/>
      <c r="BU272" s="775">
        <f t="shared" si="901"/>
        <v>0</v>
      </c>
      <c r="BW272" s="775">
        <v>329485</v>
      </c>
      <c r="BZ272" s="970"/>
      <c r="CB272" s="775"/>
      <c r="CD272" s="970"/>
      <c r="CF272" s="775"/>
      <c r="CH272" s="775">
        <f t="shared" si="902"/>
        <v>329485</v>
      </c>
      <c r="CJ272" s="775"/>
      <c r="CL272" s="775"/>
      <c r="CN272" s="775">
        <f t="shared" si="903"/>
        <v>0</v>
      </c>
      <c r="CP272" s="775">
        <v>24546</v>
      </c>
      <c r="CR272" s="775"/>
      <c r="CT272" s="775">
        <f t="shared" si="904"/>
        <v>24546</v>
      </c>
      <c r="CV272" s="971"/>
      <c r="CW272" s="968"/>
      <c r="CX272" s="971"/>
      <c r="CY272" s="968"/>
      <c r="CZ272" s="971">
        <f t="shared" si="905"/>
        <v>0</v>
      </c>
      <c r="DB272" s="775">
        <v>146376000</v>
      </c>
      <c r="DD272" s="775"/>
      <c r="DF272" s="775">
        <f t="shared" si="906"/>
        <v>146376000</v>
      </c>
      <c r="DH272" s="971"/>
      <c r="DI272" s="968"/>
      <c r="DJ272" s="971"/>
      <c r="DK272" s="968"/>
      <c r="DL272" s="971">
        <f t="shared" si="907"/>
        <v>0</v>
      </c>
      <c r="DN272" s="971"/>
      <c r="DO272" s="968"/>
      <c r="DP272" s="971"/>
      <c r="DQ272" s="968"/>
      <c r="DR272" s="971">
        <f t="shared" si="908"/>
        <v>0</v>
      </c>
      <c r="DT272" s="776">
        <v>488321</v>
      </c>
      <c r="DV272" s="971">
        <v>0</v>
      </c>
      <c r="DX272" s="775"/>
      <c r="DZ272" s="775">
        <f t="shared" si="909"/>
        <v>488321</v>
      </c>
      <c r="EB272" s="775">
        <v>3874186</v>
      </c>
      <c r="ED272" s="972"/>
      <c r="EF272" s="775"/>
      <c r="EH272" s="775">
        <f t="shared" si="910"/>
        <v>3874186</v>
      </c>
      <c r="EJ272" s="775">
        <v>338503</v>
      </c>
      <c r="EL272" s="775"/>
      <c r="EN272" s="775">
        <f t="shared" si="911"/>
        <v>338503</v>
      </c>
      <c r="EP272" s="775">
        <v>14346574</v>
      </c>
      <c r="ER272" s="775"/>
      <c r="ET272" s="775">
        <f t="shared" si="912"/>
        <v>14346574</v>
      </c>
      <c r="EV272" s="775">
        <v>818207287</v>
      </c>
      <c r="EX272" s="775"/>
      <c r="EZ272" s="775">
        <f t="shared" si="913"/>
        <v>818207287</v>
      </c>
      <c r="FB272" s="775"/>
      <c r="FD272" s="775"/>
      <c r="FF272" s="775"/>
      <c r="FH272" s="775"/>
      <c r="FJ272" s="775">
        <f t="shared" si="914"/>
        <v>0</v>
      </c>
      <c r="FL272" s="775">
        <v>236064</v>
      </c>
      <c r="FN272" s="775"/>
      <c r="FP272" s="775">
        <f t="shared" si="915"/>
        <v>236064</v>
      </c>
      <c r="FR272" s="775">
        <v>32880</v>
      </c>
      <c r="FT272" s="775"/>
      <c r="FV272" s="775">
        <f t="shared" si="916"/>
        <v>32880</v>
      </c>
      <c r="FX272" s="971"/>
      <c r="FY272" s="968"/>
      <c r="FZ272" s="971"/>
      <c r="GA272" s="968"/>
      <c r="GB272" s="971">
        <f t="shared" si="917"/>
        <v>0</v>
      </c>
      <c r="GC272" s="968"/>
      <c r="GD272" s="971"/>
      <c r="GE272" s="968"/>
      <c r="GF272" s="971"/>
      <c r="GG272" s="968"/>
      <c r="GH272" s="971">
        <v>0</v>
      </c>
      <c r="GK272" s="761">
        <f>O272+U272+AA272+AG272+AO272+AU272+BA272+BG272+BM272+BU272+CH272+CN272+CT272+DF272+DZ272+EH272+EN272+ET272+EZ272+FJ272+FP272+FV272</f>
        <v>989337960</v>
      </c>
      <c r="GM272" s="761"/>
    </row>
    <row r="273" spans="2:195">
      <c r="B273" s="849"/>
      <c r="D273" s="849" t="s">
        <v>638</v>
      </c>
      <c r="E273" s="849"/>
      <c r="J273" s="770">
        <v>16</v>
      </c>
      <c r="K273" s="775"/>
      <c r="M273" s="775"/>
      <c r="O273" s="775">
        <f t="shared" si="892"/>
        <v>0</v>
      </c>
      <c r="Q273" s="775"/>
      <c r="S273" s="775"/>
      <c r="U273" s="775">
        <f t="shared" si="893"/>
        <v>0</v>
      </c>
      <c r="W273" s="775"/>
      <c r="Y273" s="775"/>
      <c r="AA273" s="775">
        <f t="shared" si="894"/>
        <v>0</v>
      </c>
      <c r="AC273" s="775"/>
      <c r="AE273" s="775"/>
      <c r="AG273" s="775">
        <f t="shared" si="895"/>
        <v>0</v>
      </c>
      <c r="AI273" s="776"/>
      <c r="AK273" s="970">
        <v>0</v>
      </c>
      <c r="AM273" s="775"/>
      <c r="AO273" s="775">
        <f t="shared" si="896"/>
        <v>0</v>
      </c>
      <c r="AQ273" s="775"/>
      <c r="AS273" s="775"/>
      <c r="AU273" s="775">
        <f t="shared" si="897"/>
        <v>0</v>
      </c>
      <c r="AW273" s="775"/>
      <c r="AY273" s="775"/>
      <c r="BA273" s="775">
        <f t="shared" si="898"/>
        <v>0</v>
      </c>
      <c r="BC273" s="775"/>
      <c r="BE273" s="775"/>
      <c r="BG273" s="775">
        <f t="shared" si="899"/>
        <v>0</v>
      </c>
      <c r="BI273" s="775"/>
      <c r="BK273" s="775"/>
      <c r="BM273" s="775">
        <f t="shared" si="900"/>
        <v>0</v>
      </c>
      <c r="BO273" s="775"/>
      <c r="BQ273" s="970"/>
      <c r="BS273" s="775"/>
      <c r="BU273" s="775">
        <f t="shared" si="901"/>
        <v>0</v>
      </c>
      <c r="BW273" s="776"/>
      <c r="BZ273" s="970"/>
      <c r="CB273" s="775"/>
      <c r="CD273" s="970"/>
      <c r="CF273" s="775"/>
      <c r="CH273" s="775">
        <f t="shared" si="902"/>
        <v>0</v>
      </c>
      <c r="CJ273" s="775"/>
      <c r="CL273" s="775"/>
      <c r="CN273" s="775">
        <f t="shared" si="903"/>
        <v>0</v>
      </c>
      <c r="CP273" s="775"/>
      <c r="CR273" s="775"/>
      <c r="CT273" s="775">
        <f t="shared" si="904"/>
        <v>0</v>
      </c>
      <c r="CV273" s="971"/>
      <c r="CW273" s="968"/>
      <c r="CX273" s="971"/>
      <c r="CY273" s="968"/>
      <c r="CZ273" s="971">
        <f t="shared" si="905"/>
        <v>0</v>
      </c>
      <c r="DB273" s="775"/>
      <c r="DD273" s="775"/>
      <c r="DF273" s="775">
        <f t="shared" si="906"/>
        <v>0</v>
      </c>
      <c r="DH273" s="971"/>
      <c r="DI273" s="968"/>
      <c r="DJ273" s="971"/>
      <c r="DK273" s="968"/>
      <c r="DL273" s="971">
        <f t="shared" si="907"/>
        <v>0</v>
      </c>
      <c r="DN273" s="971"/>
      <c r="DO273" s="968"/>
      <c r="DP273" s="971"/>
      <c r="DQ273" s="968"/>
      <c r="DR273" s="971">
        <f t="shared" si="908"/>
        <v>0</v>
      </c>
      <c r="DT273" s="776">
        <v>125448</v>
      </c>
      <c r="DV273" s="971">
        <v>0</v>
      </c>
      <c r="DX273" s="775"/>
      <c r="DZ273" s="775">
        <f t="shared" si="909"/>
        <v>125448</v>
      </c>
      <c r="EB273" s="775">
        <v>175000</v>
      </c>
      <c r="ED273" s="972">
        <v>0</v>
      </c>
      <c r="EF273" s="775"/>
      <c r="EH273" s="775">
        <f t="shared" si="910"/>
        <v>175000</v>
      </c>
      <c r="EJ273" s="775"/>
      <c r="EL273" s="775"/>
      <c r="EN273" s="775">
        <f t="shared" si="911"/>
        <v>0</v>
      </c>
      <c r="EP273" s="775"/>
      <c r="ER273" s="775"/>
      <c r="ET273" s="775">
        <f t="shared" si="912"/>
        <v>0</v>
      </c>
      <c r="EV273" s="775">
        <v>30858549</v>
      </c>
      <c r="EX273" s="775"/>
      <c r="EZ273" s="775">
        <f t="shared" si="913"/>
        <v>30858549</v>
      </c>
      <c r="FB273" s="775"/>
      <c r="FD273" s="775"/>
      <c r="FF273" s="775"/>
      <c r="FH273" s="775"/>
      <c r="FJ273" s="775">
        <f t="shared" si="914"/>
        <v>0</v>
      </c>
      <c r="FL273" s="775"/>
      <c r="FN273" s="775"/>
      <c r="FP273" s="775">
        <f t="shared" si="915"/>
        <v>0</v>
      </c>
      <c r="FR273" s="775"/>
      <c r="FT273" s="775"/>
      <c r="FV273" s="775">
        <f t="shared" si="916"/>
        <v>0</v>
      </c>
      <c r="FX273" s="971"/>
      <c r="FY273" s="968"/>
      <c r="FZ273" s="971"/>
      <c r="GA273" s="968"/>
      <c r="GB273" s="971">
        <f t="shared" si="917"/>
        <v>0</v>
      </c>
      <c r="GC273" s="968"/>
      <c r="GD273" s="971"/>
      <c r="GE273" s="968"/>
      <c r="GF273" s="971"/>
      <c r="GG273" s="968"/>
      <c r="GH273" s="971">
        <v>0</v>
      </c>
      <c r="GK273" s="761">
        <f>O273+U273+AA273+AG273+AO273+AU273+BA273+BG273+BM273+BU273+CH273+CN273+CT273+DF273+DZ273+EH273+EN273+ET273+EZ273+FJ273+FP273+FV273</f>
        <v>31158997</v>
      </c>
      <c r="GM273" s="761"/>
    </row>
    <row r="274" spans="2:195">
      <c r="B274" s="847"/>
      <c r="D274" s="847" t="s">
        <v>607</v>
      </c>
      <c r="E274" s="847"/>
      <c r="J274" s="758">
        <v>17</v>
      </c>
      <c r="K274" s="775"/>
      <c r="M274" s="775"/>
      <c r="O274" s="775">
        <f t="shared" si="892"/>
        <v>0</v>
      </c>
      <c r="Q274" s="775"/>
      <c r="S274" s="775"/>
      <c r="U274" s="775">
        <f t="shared" si="893"/>
        <v>0</v>
      </c>
      <c r="W274" s="775"/>
      <c r="Y274" s="775"/>
      <c r="AA274" s="775">
        <f t="shared" si="894"/>
        <v>0</v>
      </c>
      <c r="AC274" s="775"/>
      <c r="AE274" s="775"/>
      <c r="AG274" s="775">
        <f t="shared" si="895"/>
        <v>0</v>
      </c>
      <c r="AI274" s="775"/>
      <c r="AK274" s="970">
        <v>0</v>
      </c>
      <c r="AM274" s="775"/>
      <c r="AO274" s="775">
        <f t="shared" si="896"/>
        <v>0</v>
      </c>
      <c r="AQ274" s="775"/>
      <c r="AS274" s="775"/>
      <c r="AU274" s="775">
        <f t="shared" si="897"/>
        <v>0</v>
      </c>
      <c r="AW274" s="775"/>
      <c r="AY274" s="775"/>
      <c r="BA274" s="775">
        <f t="shared" si="898"/>
        <v>0</v>
      </c>
      <c r="BC274" s="775"/>
      <c r="BE274" s="775"/>
      <c r="BG274" s="775">
        <f t="shared" si="899"/>
        <v>0</v>
      </c>
      <c r="BI274" s="775"/>
      <c r="BK274" s="775"/>
      <c r="BM274" s="775">
        <f t="shared" si="900"/>
        <v>0</v>
      </c>
      <c r="BO274" s="775"/>
      <c r="BQ274" s="970"/>
      <c r="BS274" s="775"/>
      <c r="BU274" s="775">
        <f t="shared" si="901"/>
        <v>0</v>
      </c>
      <c r="BW274" s="775"/>
      <c r="BZ274" s="970"/>
      <c r="CB274" s="775"/>
      <c r="CD274" s="970"/>
      <c r="CF274" s="775"/>
      <c r="CH274" s="775">
        <f t="shared" si="902"/>
        <v>0</v>
      </c>
      <c r="CJ274" s="775"/>
      <c r="CL274" s="775"/>
      <c r="CN274" s="775">
        <f t="shared" si="903"/>
        <v>0</v>
      </c>
      <c r="CP274" s="775"/>
      <c r="CR274" s="775"/>
      <c r="CT274" s="775">
        <f t="shared" si="904"/>
        <v>0</v>
      </c>
      <c r="CV274" s="971"/>
      <c r="CW274" s="968"/>
      <c r="CX274" s="971"/>
      <c r="CY274" s="968"/>
      <c r="CZ274" s="971">
        <f t="shared" si="905"/>
        <v>0</v>
      </c>
      <c r="DB274" s="775"/>
      <c r="DD274" s="775"/>
      <c r="DF274" s="775">
        <f t="shared" si="906"/>
        <v>0</v>
      </c>
      <c r="DH274" s="971"/>
      <c r="DI274" s="968"/>
      <c r="DJ274" s="971"/>
      <c r="DK274" s="968"/>
      <c r="DL274" s="971">
        <f t="shared" si="907"/>
        <v>0</v>
      </c>
      <c r="DN274" s="971"/>
      <c r="DO274" s="968"/>
      <c r="DP274" s="971"/>
      <c r="DQ274" s="968"/>
      <c r="DR274" s="971">
        <f t="shared" si="908"/>
        <v>0</v>
      </c>
      <c r="DT274" s="775"/>
      <c r="DV274" s="971">
        <v>0</v>
      </c>
      <c r="DX274" s="775"/>
      <c r="DZ274" s="775">
        <f t="shared" si="909"/>
        <v>0</v>
      </c>
      <c r="EB274" s="775"/>
      <c r="ED274" s="972">
        <v>0</v>
      </c>
      <c r="EF274" s="775"/>
      <c r="EH274" s="775">
        <f t="shared" si="910"/>
        <v>0</v>
      </c>
      <c r="EJ274" s="775"/>
      <c r="EL274" s="775"/>
      <c r="EN274" s="775">
        <f t="shared" si="911"/>
        <v>0</v>
      </c>
      <c r="EP274" s="775"/>
      <c r="ER274" s="775"/>
      <c r="ET274" s="775">
        <f t="shared" si="912"/>
        <v>0</v>
      </c>
      <c r="EV274" s="775"/>
      <c r="EX274" s="775"/>
      <c r="EZ274" s="775">
        <f t="shared" si="913"/>
        <v>0</v>
      </c>
      <c r="FB274" s="775"/>
      <c r="FD274" s="775"/>
      <c r="FF274" s="775"/>
      <c r="FH274" s="775"/>
      <c r="FJ274" s="775">
        <f t="shared" si="914"/>
        <v>0</v>
      </c>
      <c r="FL274" s="775"/>
      <c r="FN274" s="775"/>
      <c r="FP274" s="775">
        <f t="shared" si="915"/>
        <v>0</v>
      </c>
      <c r="FR274" s="775"/>
      <c r="FT274" s="775"/>
      <c r="FV274" s="775">
        <f t="shared" si="916"/>
        <v>0</v>
      </c>
      <c r="FX274" s="971"/>
      <c r="FY274" s="968"/>
      <c r="FZ274" s="971"/>
      <c r="GA274" s="968"/>
      <c r="GB274" s="971">
        <f t="shared" si="917"/>
        <v>0</v>
      </c>
      <c r="GC274" s="968"/>
      <c r="GD274" s="971"/>
      <c r="GE274" s="968"/>
      <c r="GF274" s="971"/>
      <c r="GG274" s="968"/>
      <c r="GH274" s="971">
        <v>0</v>
      </c>
      <c r="GK274" s="761">
        <f>O274+U274+AA274+AG274+AO274+AU274+BA274+BG274+BM274+BU274+CH274+CN274+CT274+DF274+DZ274+EH274+EN274+ET274+EZ274+FJ274+FP274+FV274</f>
        <v>0</v>
      </c>
      <c r="GM274" s="761"/>
    </row>
    <row r="275" spans="2:195">
      <c r="D275" s="847" t="s">
        <v>1325</v>
      </c>
      <c r="E275" s="847"/>
      <c r="J275" s="770">
        <v>18</v>
      </c>
      <c r="BQ275" s="952"/>
      <c r="BW275" s="761"/>
      <c r="BZ275" s="952"/>
      <c r="CB275" s="761"/>
      <c r="CD275" s="952"/>
      <c r="CP275" s="761"/>
      <c r="CV275" s="977"/>
      <c r="CW275" s="968"/>
      <c r="CX275" s="977"/>
      <c r="CY275" s="968"/>
      <c r="CZ275" s="977"/>
      <c r="DB275" s="761"/>
      <c r="DH275" s="977"/>
      <c r="DI275" s="968"/>
      <c r="DJ275" s="977"/>
      <c r="DK275" s="968"/>
      <c r="DL275" s="977"/>
      <c r="DN275" s="977"/>
      <c r="DO275" s="968"/>
      <c r="DP275" s="977"/>
      <c r="DQ275" s="968"/>
      <c r="DR275" s="977"/>
      <c r="DT275" s="761"/>
      <c r="DV275" s="977"/>
      <c r="EB275" s="761"/>
      <c r="ED275" s="978"/>
      <c r="EJ275" s="761"/>
      <c r="EP275" s="761"/>
      <c r="EV275" s="761"/>
      <c r="FB275" s="761"/>
      <c r="FD275" s="761"/>
      <c r="FX275" s="977"/>
      <c r="FY275" s="968"/>
      <c r="FZ275" s="977"/>
      <c r="GA275" s="968"/>
      <c r="GB275" s="977"/>
      <c r="GC275" s="968"/>
      <c r="GD275" s="977"/>
      <c r="GE275" s="968"/>
      <c r="GF275" s="977"/>
      <c r="GG275" s="968"/>
      <c r="GH275" s="977"/>
    </row>
    <row r="276" spans="2:195">
      <c r="B276" s="848"/>
      <c r="D276" s="848" t="s">
        <v>197</v>
      </c>
      <c r="E276" s="847"/>
      <c r="J276" s="758">
        <v>19</v>
      </c>
      <c r="K276" s="775"/>
      <c r="M276" s="775"/>
      <c r="O276" s="775">
        <f t="shared" si="892"/>
        <v>0</v>
      </c>
      <c r="Q276" s="775">
        <v>681550</v>
      </c>
      <c r="S276" s="775"/>
      <c r="U276" s="775">
        <f t="shared" ref="U276:U279" si="918">Q276+S276</f>
        <v>681550</v>
      </c>
      <c r="W276" s="775"/>
      <c r="Y276" s="775"/>
      <c r="AA276" s="775">
        <f t="shared" ref="AA276:AA279" si="919">W276+Y276</f>
        <v>0</v>
      </c>
      <c r="AC276" s="775"/>
      <c r="AE276" s="775"/>
      <c r="AG276" s="775">
        <f t="shared" ref="AG276:AG279" si="920">AC276+AE276</f>
        <v>0</v>
      </c>
      <c r="AI276" s="775">
        <v>129502</v>
      </c>
      <c r="AK276" s="970">
        <v>0</v>
      </c>
      <c r="AM276" s="775"/>
      <c r="AO276" s="775">
        <f t="shared" si="896"/>
        <v>129502</v>
      </c>
      <c r="AQ276" s="775"/>
      <c r="AS276" s="775"/>
      <c r="AU276" s="775">
        <f t="shared" si="897"/>
        <v>0</v>
      </c>
      <c r="AW276" s="775"/>
      <c r="AY276" s="775"/>
      <c r="BA276" s="775">
        <f t="shared" ref="BA276:BA279" si="921">AW276+AY276</f>
        <v>0</v>
      </c>
      <c r="BC276" s="775"/>
      <c r="BE276" s="775"/>
      <c r="BG276" s="775">
        <f t="shared" ref="BG276:BG279" si="922">BC276+BE276</f>
        <v>0</v>
      </c>
      <c r="BI276" s="775"/>
      <c r="BK276" s="775"/>
      <c r="BM276" s="775">
        <f t="shared" ref="BM276:BM279" si="923">BI276+BK276</f>
        <v>0</v>
      </c>
      <c r="BO276" s="775"/>
      <c r="BQ276" s="970"/>
      <c r="BS276" s="775"/>
      <c r="BU276" s="775">
        <f t="shared" si="901"/>
        <v>0</v>
      </c>
      <c r="BW276" s="775"/>
      <c r="BZ276" s="970"/>
      <c r="CB276" s="775"/>
      <c r="CD276" s="970"/>
      <c r="CF276" s="775"/>
      <c r="CH276" s="775">
        <f t="shared" si="902"/>
        <v>0</v>
      </c>
      <c r="CJ276" s="775"/>
      <c r="CL276" s="775"/>
      <c r="CN276" s="775">
        <f t="shared" si="903"/>
        <v>0</v>
      </c>
      <c r="CP276" s="775"/>
      <c r="CR276" s="775"/>
      <c r="CT276" s="775">
        <f t="shared" ref="CT276:CT279" si="924">CP276+CR276</f>
        <v>0</v>
      </c>
      <c r="CV276" s="971"/>
      <c r="CW276" s="968"/>
      <c r="CX276" s="971"/>
      <c r="CY276" s="968"/>
      <c r="CZ276" s="971">
        <f t="shared" ref="CZ276:CZ279" si="925">CV276+CX276</f>
        <v>0</v>
      </c>
      <c r="DB276" s="775">
        <v>40155000</v>
      </c>
      <c r="DD276" s="775"/>
      <c r="DF276" s="775">
        <f t="shared" ref="DF276:DF279" si="926">DB276+DD276</f>
        <v>40155000</v>
      </c>
      <c r="DH276" s="971"/>
      <c r="DI276" s="968"/>
      <c r="DJ276" s="971"/>
      <c r="DK276" s="968"/>
      <c r="DL276" s="971">
        <f t="shared" ref="DL276:DL279" si="927">DH276+DJ276</f>
        <v>0</v>
      </c>
      <c r="DN276" s="971"/>
      <c r="DO276" s="968"/>
      <c r="DP276" s="971"/>
      <c r="DQ276" s="968"/>
      <c r="DR276" s="971">
        <f t="shared" ref="DR276:DR279" si="928">DN276+DP276</f>
        <v>0</v>
      </c>
      <c r="DT276" s="775"/>
      <c r="DV276" s="971">
        <v>0</v>
      </c>
      <c r="DX276" s="775"/>
      <c r="DZ276" s="775">
        <f t="shared" si="909"/>
        <v>0</v>
      </c>
      <c r="EB276" s="775">
        <v>158945</v>
      </c>
      <c r="ED276" s="972"/>
      <c r="EF276" s="775"/>
      <c r="EH276" s="775">
        <f t="shared" ref="EH276:EH279" si="929">EB276+EF276</f>
        <v>158945</v>
      </c>
      <c r="EJ276" s="775"/>
      <c r="EL276" s="775"/>
      <c r="EN276" s="775">
        <f t="shared" si="911"/>
        <v>0</v>
      </c>
      <c r="EP276" s="775">
        <v>7381044</v>
      </c>
      <c r="ER276" s="775"/>
      <c r="ET276" s="775">
        <f t="shared" ref="ET276:ET279" si="930">EP276+ER276</f>
        <v>7381044</v>
      </c>
      <c r="EV276" s="775"/>
      <c r="EX276" s="775"/>
      <c r="EZ276" s="775">
        <f t="shared" ref="EZ276:EZ279" si="931">EV276+EX276</f>
        <v>0</v>
      </c>
      <c r="FB276" s="775">
        <v>0</v>
      </c>
      <c r="FD276" s="775"/>
      <c r="FF276" s="775"/>
      <c r="FH276" s="775"/>
      <c r="FJ276" s="775">
        <f t="shared" ref="FJ276:FJ279" si="932">FF276+FH276</f>
        <v>0</v>
      </c>
      <c r="FL276" s="775"/>
      <c r="FN276" s="775"/>
      <c r="FP276" s="775">
        <f t="shared" ref="FP276:FP279" si="933">FL276+FN276</f>
        <v>0</v>
      </c>
      <c r="FR276" s="775">
        <v>34773</v>
      </c>
      <c r="FT276" s="775"/>
      <c r="FV276" s="775">
        <f t="shared" ref="FV276:FV279" si="934">FR276+FT276</f>
        <v>34773</v>
      </c>
      <c r="FX276" s="971"/>
      <c r="FY276" s="968"/>
      <c r="FZ276" s="971"/>
      <c r="GA276" s="968"/>
      <c r="GB276" s="971">
        <f t="shared" si="917"/>
        <v>0</v>
      </c>
      <c r="GC276" s="968"/>
      <c r="GD276" s="971"/>
      <c r="GE276" s="968"/>
      <c r="GF276" s="971"/>
      <c r="GG276" s="968"/>
      <c r="GH276" s="971">
        <v>0</v>
      </c>
      <c r="GK276" s="761">
        <f>O276+U276+AA276+AG276+AO276+AU276+BA276+BG276+BM276+BU276+CH276+CN276+CT276+DF276+DZ276+EH276+EN276+ET276+EZ276+FJ276+FP276+FV276</f>
        <v>48540814</v>
      </c>
      <c r="GM276" s="761"/>
    </row>
    <row r="277" spans="2:195">
      <c r="B277" s="848"/>
      <c r="D277" s="848" t="s">
        <v>198</v>
      </c>
      <c r="E277" s="847"/>
      <c r="J277" s="770">
        <v>20</v>
      </c>
      <c r="K277" s="775"/>
      <c r="M277" s="775"/>
      <c r="O277" s="775">
        <f t="shared" si="892"/>
        <v>0</v>
      </c>
      <c r="Q277" s="775"/>
      <c r="S277" s="775"/>
      <c r="U277" s="775">
        <f t="shared" si="918"/>
        <v>0</v>
      </c>
      <c r="W277" s="775"/>
      <c r="Y277" s="775"/>
      <c r="AA277" s="775">
        <f t="shared" si="919"/>
        <v>0</v>
      </c>
      <c r="AC277" s="775"/>
      <c r="AE277" s="775"/>
      <c r="AG277" s="775">
        <f t="shared" si="920"/>
        <v>0</v>
      </c>
      <c r="AI277" s="775"/>
      <c r="AK277" s="970">
        <v>0</v>
      </c>
      <c r="AM277" s="775"/>
      <c r="AO277" s="775">
        <f t="shared" si="896"/>
        <v>0</v>
      </c>
      <c r="AQ277" s="775"/>
      <c r="AS277" s="775"/>
      <c r="AU277" s="775">
        <f t="shared" si="897"/>
        <v>0</v>
      </c>
      <c r="AW277" s="775"/>
      <c r="AY277" s="775"/>
      <c r="BA277" s="775">
        <f t="shared" si="921"/>
        <v>0</v>
      </c>
      <c r="BC277" s="775"/>
      <c r="BE277" s="775"/>
      <c r="BG277" s="775">
        <f t="shared" si="922"/>
        <v>0</v>
      </c>
      <c r="BI277" s="775"/>
      <c r="BK277" s="775"/>
      <c r="BM277" s="775">
        <f t="shared" si="923"/>
        <v>0</v>
      </c>
      <c r="BO277" s="775"/>
      <c r="BQ277" s="970"/>
      <c r="BS277" s="775"/>
      <c r="BU277" s="775">
        <f t="shared" si="901"/>
        <v>0</v>
      </c>
      <c r="BW277" s="775"/>
      <c r="BZ277" s="970"/>
      <c r="CB277" s="775"/>
      <c r="CD277" s="970"/>
      <c r="CF277" s="775"/>
      <c r="CH277" s="775">
        <f t="shared" si="902"/>
        <v>0</v>
      </c>
      <c r="CJ277" s="775"/>
      <c r="CL277" s="775"/>
      <c r="CN277" s="775">
        <f t="shared" si="903"/>
        <v>0</v>
      </c>
      <c r="CP277" s="775"/>
      <c r="CR277" s="775"/>
      <c r="CT277" s="775">
        <f t="shared" si="924"/>
        <v>0</v>
      </c>
      <c r="CV277" s="971"/>
      <c r="CW277" s="968"/>
      <c r="CX277" s="971"/>
      <c r="CY277" s="968"/>
      <c r="CZ277" s="971">
        <f t="shared" si="925"/>
        <v>0</v>
      </c>
      <c r="DB277" s="775"/>
      <c r="DD277" s="775"/>
      <c r="DF277" s="775">
        <f t="shared" si="926"/>
        <v>0</v>
      </c>
      <c r="DH277" s="971"/>
      <c r="DI277" s="968"/>
      <c r="DJ277" s="971"/>
      <c r="DK277" s="968"/>
      <c r="DL277" s="971">
        <f t="shared" si="927"/>
        <v>0</v>
      </c>
      <c r="DN277" s="971"/>
      <c r="DO277" s="968"/>
      <c r="DP277" s="971"/>
      <c r="DQ277" s="968"/>
      <c r="DR277" s="971">
        <f t="shared" si="928"/>
        <v>0</v>
      </c>
      <c r="DT277" s="775">
        <v>146649</v>
      </c>
      <c r="DV277" s="971">
        <v>0</v>
      </c>
      <c r="DX277" s="775"/>
      <c r="DZ277" s="775">
        <f t="shared" si="909"/>
        <v>146649</v>
      </c>
      <c r="EB277" s="775"/>
      <c r="ED277" s="972">
        <v>0</v>
      </c>
      <c r="EF277" s="775"/>
      <c r="EH277" s="775">
        <f t="shared" si="929"/>
        <v>0</v>
      </c>
      <c r="EJ277" s="775"/>
      <c r="EL277" s="775"/>
      <c r="EN277" s="775">
        <f t="shared" si="911"/>
        <v>0</v>
      </c>
      <c r="EP277" s="775"/>
      <c r="ER277" s="775"/>
      <c r="ET277" s="775">
        <f t="shared" si="930"/>
        <v>0</v>
      </c>
      <c r="EV277" s="775"/>
      <c r="EX277" s="775"/>
      <c r="EZ277" s="775">
        <f t="shared" si="931"/>
        <v>0</v>
      </c>
      <c r="FB277" s="775">
        <v>0</v>
      </c>
      <c r="FD277" s="775"/>
      <c r="FF277" s="775"/>
      <c r="FH277" s="775"/>
      <c r="FJ277" s="775">
        <f t="shared" si="932"/>
        <v>0</v>
      </c>
      <c r="FL277" s="775"/>
      <c r="FN277" s="775"/>
      <c r="FP277" s="775">
        <f t="shared" si="933"/>
        <v>0</v>
      </c>
      <c r="FR277" s="775"/>
      <c r="FT277" s="775"/>
      <c r="FV277" s="775">
        <f t="shared" si="934"/>
        <v>0</v>
      </c>
      <c r="FX277" s="971"/>
      <c r="FY277" s="968"/>
      <c r="FZ277" s="971"/>
      <c r="GA277" s="968"/>
      <c r="GB277" s="971">
        <f t="shared" si="917"/>
        <v>0</v>
      </c>
      <c r="GC277" s="968"/>
      <c r="GD277" s="971"/>
      <c r="GE277" s="968"/>
      <c r="GF277" s="971"/>
      <c r="GG277" s="968"/>
      <c r="GH277" s="971">
        <v>0</v>
      </c>
      <c r="GK277" s="761">
        <f>O277+U277+AA277+AG277+AO277+AU277+BA277+BG277+BM277+BU277+CH277+CN277+CT277+DF277+DZ277+EH277+EN277+ET277+EZ277+FJ277+FP277+FV277</f>
        <v>146649</v>
      </c>
      <c r="GM277" s="761"/>
    </row>
    <row r="278" spans="2:195">
      <c r="B278" s="848"/>
      <c r="D278" s="848" t="s">
        <v>199</v>
      </c>
      <c r="E278" s="847"/>
      <c r="J278" s="758">
        <v>21</v>
      </c>
      <c r="K278" s="775"/>
      <c r="M278" s="775"/>
      <c r="O278" s="775">
        <f t="shared" si="892"/>
        <v>0</v>
      </c>
      <c r="Q278" s="775"/>
      <c r="S278" s="775"/>
      <c r="U278" s="775">
        <f t="shared" si="918"/>
        <v>0</v>
      </c>
      <c r="W278" s="775"/>
      <c r="Y278" s="775"/>
      <c r="AA278" s="775">
        <f t="shared" si="919"/>
        <v>0</v>
      </c>
      <c r="AC278" s="775"/>
      <c r="AE278" s="775"/>
      <c r="AG278" s="775">
        <f t="shared" si="920"/>
        <v>0</v>
      </c>
      <c r="AI278" s="775"/>
      <c r="AK278" s="970">
        <v>0</v>
      </c>
      <c r="AM278" s="775"/>
      <c r="AO278" s="775">
        <f t="shared" si="896"/>
        <v>0</v>
      </c>
      <c r="AQ278" s="775"/>
      <c r="AS278" s="775"/>
      <c r="AU278" s="775">
        <f t="shared" si="897"/>
        <v>0</v>
      </c>
      <c r="AW278" s="775"/>
      <c r="AY278" s="775"/>
      <c r="BA278" s="775">
        <f t="shared" si="921"/>
        <v>0</v>
      </c>
      <c r="BC278" s="775"/>
      <c r="BE278" s="775"/>
      <c r="BG278" s="775">
        <f t="shared" si="922"/>
        <v>0</v>
      </c>
      <c r="BI278" s="775"/>
      <c r="BK278" s="775"/>
      <c r="BM278" s="775">
        <f t="shared" si="923"/>
        <v>0</v>
      </c>
      <c r="BO278" s="775"/>
      <c r="BQ278" s="970"/>
      <c r="BS278" s="775"/>
      <c r="BU278" s="775">
        <f t="shared" si="901"/>
        <v>0</v>
      </c>
      <c r="BW278" s="775"/>
      <c r="BZ278" s="970"/>
      <c r="CB278" s="775"/>
      <c r="CD278" s="970"/>
      <c r="CF278" s="775"/>
      <c r="CH278" s="775">
        <f t="shared" si="902"/>
        <v>0</v>
      </c>
      <c r="CJ278" s="775"/>
      <c r="CL278" s="775"/>
      <c r="CN278" s="775">
        <f t="shared" si="903"/>
        <v>0</v>
      </c>
      <c r="CP278" s="775"/>
      <c r="CR278" s="775"/>
      <c r="CT278" s="775">
        <f t="shared" si="924"/>
        <v>0</v>
      </c>
      <c r="CV278" s="971"/>
      <c r="CW278" s="968"/>
      <c r="CX278" s="971"/>
      <c r="CY278" s="968"/>
      <c r="CZ278" s="971">
        <f t="shared" si="925"/>
        <v>0</v>
      </c>
      <c r="DB278" s="775"/>
      <c r="DD278" s="775"/>
      <c r="DF278" s="775">
        <f t="shared" si="926"/>
        <v>0</v>
      </c>
      <c r="DH278" s="971"/>
      <c r="DI278" s="968"/>
      <c r="DJ278" s="971"/>
      <c r="DK278" s="968"/>
      <c r="DL278" s="971">
        <f t="shared" si="927"/>
        <v>0</v>
      </c>
      <c r="DN278" s="971"/>
      <c r="DO278" s="968"/>
      <c r="DP278" s="971"/>
      <c r="DQ278" s="968"/>
      <c r="DR278" s="971">
        <f t="shared" si="928"/>
        <v>0</v>
      </c>
      <c r="DT278" s="775"/>
      <c r="DV278" s="971">
        <v>0</v>
      </c>
      <c r="DX278" s="775"/>
      <c r="DZ278" s="775">
        <f t="shared" si="909"/>
        <v>0</v>
      </c>
      <c r="EB278" s="775"/>
      <c r="ED278" s="972">
        <v>0</v>
      </c>
      <c r="EF278" s="775"/>
      <c r="EH278" s="775">
        <f t="shared" si="929"/>
        <v>0</v>
      </c>
      <c r="EJ278" s="775"/>
      <c r="EL278" s="775"/>
      <c r="EN278" s="775">
        <f t="shared" si="911"/>
        <v>0</v>
      </c>
      <c r="EP278" s="775"/>
      <c r="ER278" s="775"/>
      <c r="ET278" s="775">
        <f t="shared" si="930"/>
        <v>0</v>
      </c>
      <c r="EV278" s="775"/>
      <c r="EX278" s="775"/>
      <c r="EZ278" s="775">
        <f t="shared" si="931"/>
        <v>0</v>
      </c>
      <c r="FB278" s="775">
        <v>0</v>
      </c>
      <c r="FD278" s="775"/>
      <c r="FF278" s="775"/>
      <c r="FH278" s="775"/>
      <c r="FJ278" s="775">
        <f t="shared" si="932"/>
        <v>0</v>
      </c>
      <c r="FL278" s="775"/>
      <c r="FN278" s="775"/>
      <c r="FP278" s="775">
        <f t="shared" si="933"/>
        <v>0</v>
      </c>
      <c r="FR278" s="775"/>
      <c r="FT278" s="775"/>
      <c r="FV278" s="775">
        <f t="shared" si="934"/>
        <v>0</v>
      </c>
      <c r="FX278" s="971"/>
      <c r="FY278" s="968"/>
      <c r="FZ278" s="971"/>
      <c r="GA278" s="968"/>
      <c r="GB278" s="971">
        <f t="shared" si="917"/>
        <v>0</v>
      </c>
      <c r="GC278" s="968"/>
      <c r="GD278" s="971"/>
      <c r="GE278" s="968"/>
      <c r="GF278" s="971"/>
      <c r="GG278" s="968"/>
      <c r="GH278" s="971">
        <v>0</v>
      </c>
      <c r="GK278" s="761">
        <f>O278+U278+AA278+AG278+AO278+AU278+BA278+BG278+BM278+BU278+CH278+CN278+CT278+DF278+DZ278+EH278+EN278+ET278+EZ278+FJ278+FP278+FV278</f>
        <v>0</v>
      </c>
      <c r="GM278" s="761"/>
    </row>
    <row r="279" spans="2:195">
      <c r="B279" s="848"/>
      <c r="D279" s="848" t="s">
        <v>200</v>
      </c>
      <c r="E279" s="847"/>
      <c r="J279" s="770">
        <v>22</v>
      </c>
      <c r="K279" s="775"/>
      <c r="M279" s="775"/>
      <c r="O279" s="775">
        <f t="shared" si="892"/>
        <v>0</v>
      </c>
      <c r="Q279" s="775"/>
      <c r="S279" s="775"/>
      <c r="U279" s="775">
        <f t="shared" si="918"/>
        <v>0</v>
      </c>
      <c r="W279" s="775"/>
      <c r="Y279" s="775"/>
      <c r="AA279" s="775">
        <f t="shared" si="919"/>
        <v>0</v>
      </c>
      <c r="AC279" s="775"/>
      <c r="AE279" s="775"/>
      <c r="AG279" s="775">
        <f t="shared" si="920"/>
        <v>0</v>
      </c>
      <c r="AI279" s="775"/>
      <c r="AK279" s="970">
        <v>0</v>
      </c>
      <c r="AM279" s="775"/>
      <c r="AO279" s="775">
        <f t="shared" si="896"/>
        <v>0</v>
      </c>
      <c r="AQ279" s="775"/>
      <c r="AS279" s="775"/>
      <c r="AU279" s="775">
        <f t="shared" si="897"/>
        <v>0</v>
      </c>
      <c r="AW279" s="775"/>
      <c r="AY279" s="775"/>
      <c r="BA279" s="775">
        <f t="shared" si="921"/>
        <v>0</v>
      </c>
      <c r="BC279" s="775"/>
      <c r="BE279" s="775"/>
      <c r="BG279" s="775">
        <f t="shared" si="922"/>
        <v>0</v>
      </c>
      <c r="BI279" s="775"/>
      <c r="BK279" s="775"/>
      <c r="BM279" s="775">
        <f t="shared" si="923"/>
        <v>0</v>
      </c>
      <c r="BO279" s="775"/>
      <c r="BQ279" s="970"/>
      <c r="BS279" s="775"/>
      <c r="BU279" s="775">
        <f t="shared" si="901"/>
        <v>0</v>
      </c>
      <c r="BW279" s="775">
        <v>529757</v>
      </c>
      <c r="BZ279" s="970"/>
      <c r="CB279" s="775"/>
      <c r="CD279" s="970"/>
      <c r="CF279" s="775"/>
      <c r="CH279" s="775">
        <f t="shared" si="902"/>
        <v>529757</v>
      </c>
      <c r="CJ279" s="775"/>
      <c r="CL279" s="775"/>
      <c r="CN279" s="775">
        <f t="shared" si="903"/>
        <v>0</v>
      </c>
      <c r="CP279" s="775"/>
      <c r="CR279" s="775"/>
      <c r="CT279" s="775">
        <f t="shared" si="924"/>
        <v>0</v>
      </c>
      <c r="CV279" s="971"/>
      <c r="CW279" s="968"/>
      <c r="CX279" s="971"/>
      <c r="CY279" s="968"/>
      <c r="CZ279" s="971">
        <f t="shared" si="925"/>
        <v>0</v>
      </c>
      <c r="DB279" s="775"/>
      <c r="DD279" s="775"/>
      <c r="DF279" s="775">
        <f t="shared" si="926"/>
        <v>0</v>
      </c>
      <c r="DH279" s="971"/>
      <c r="DI279" s="968"/>
      <c r="DJ279" s="971"/>
      <c r="DK279" s="968"/>
      <c r="DL279" s="971">
        <f t="shared" si="927"/>
        <v>0</v>
      </c>
      <c r="DN279" s="971"/>
      <c r="DO279" s="968"/>
      <c r="DP279" s="971"/>
      <c r="DQ279" s="968"/>
      <c r="DR279" s="971">
        <f t="shared" si="928"/>
        <v>0</v>
      </c>
      <c r="DT279" s="775"/>
      <c r="DV279" s="971">
        <v>0</v>
      </c>
      <c r="DX279" s="775"/>
      <c r="DZ279" s="775">
        <f t="shared" si="909"/>
        <v>0</v>
      </c>
      <c r="EB279" s="775"/>
      <c r="ED279" s="972">
        <v>0</v>
      </c>
      <c r="EF279" s="775"/>
      <c r="EH279" s="775">
        <f t="shared" si="929"/>
        <v>0</v>
      </c>
      <c r="EJ279" s="775"/>
      <c r="EL279" s="775"/>
      <c r="EN279" s="775">
        <f t="shared" si="911"/>
        <v>0</v>
      </c>
      <c r="EP279" s="775"/>
      <c r="ER279" s="775"/>
      <c r="ET279" s="775">
        <f t="shared" si="930"/>
        <v>0</v>
      </c>
      <c r="EV279" s="775"/>
      <c r="EX279" s="775"/>
      <c r="EZ279" s="775">
        <f t="shared" si="931"/>
        <v>0</v>
      </c>
      <c r="FB279" s="775">
        <v>0</v>
      </c>
      <c r="FD279" s="775"/>
      <c r="FF279" s="775"/>
      <c r="FH279" s="775"/>
      <c r="FJ279" s="775">
        <f t="shared" si="932"/>
        <v>0</v>
      </c>
      <c r="FL279" s="775"/>
      <c r="FN279" s="775"/>
      <c r="FP279" s="775">
        <f t="shared" si="933"/>
        <v>0</v>
      </c>
      <c r="FR279" s="775"/>
      <c r="FT279" s="775"/>
      <c r="FV279" s="775">
        <f t="shared" si="934"/>
        <v>0</v>
      </c>
      <c r="FX279" s="971"/>
      <c r="FY279" s="968"/>
      <c r="FZ279" s="971"/>
      <c r="GA279" s="968"/>
      <c r="GB279" s="971">
        <f t="shared" si="917"/>
        <v>0</v>
      </c>
      <c r="GC279" s="968"/>
      <c r="GD279" s="971"/>
      <c r="GE279" s="968"/>
      <c r="GF279" s="971"/>
      <c r="GG279" s="968"/>
      <c r="GH279" s="971">
        <v>0</v>
      </c>
      <c r="GK279" s="761">
        <f>O279+U279+AA279+AG279+AO279+AU279+BA279+BG279+BM279+BU279+CH279+CN279+CT279+DF279+DZ279+EH279+EN279+ET279+EZ279+FJ279+FP279+FV279</f>
        <v>529757</v>
      </c>
      <c r="GM279" s="761"/>
    </row>
    <row r="280" spans="2:195">
      <c r="D280" s="847" t="s">
        <v>1466</v>
      </c>
      <c r="E280" s="847"/>
      <c r="J280" s="758">
        <v>23</v>
      </c>
      <c r="BQ280" s="952"/>
      <c r="BW280" s="761"/>
      <c r="BZ280" s="952"/>
      <c r="CB280" s="761"/>
      <c r="CD280" s="952"/>
      <c r="CP280" s="761"/>
      <c r="CV280" s="977"/>
      <c r="CW280" s="968"/>
      <c r="CX280" s="977"/>
      <c r="CY280" s="968"/>
      <c r="CZ280" s="977"/>
      <c r="DB280" s="761"/>
      <c r="DH280" s="977"/>
      <c r="DI280" s="968"/>
      <c r="DJ280" s="977"/>
      <c r="DK280" s="968"/>
      <c r="DL280" s="977"/>
      <c r="DN280" s="977"/>
      <c r="DO280" s="968"/>
      <c r="DP280" s="977"/>
      <c r="DQ280" s="968"/>
      <c r="DR280" s="977"/>
      <c r="DT280" s="761"/>
      <c r="DV280" s="977"/>
      <c r="EB280" s="761"/>
      <c r="ED280" s="978"/>
      <c r="EJ280" s="761"/>
      <c r="EP280" s="761"/>
      <c r="EV280" s="761"/>
      <c r="FB280" s="761"/>
      <c r="FD280" s="761"/>
      <c r="FX280" s="977"/>
      <c r="FY280" s="968"/>
      <c r="FZ280" s="977"/>
      <c r="GA280" s="968"/>
      <c r="GB280" s="977"/>
      <c r="GC280" s="968"/>
      <c r="GD280" s="977"/>
      <c r="GE280" s="968"/>
      <c r="GF280" s="977"/>
      <c r="GG280" s="968"/>
      <c r="GH280" s="977"/>
    </row>
    <row r="281" spans="2:195">
      <c r="B281" s="848"/>
      <c r="D281" s="848" t="s">
        <v>1391</v>
      </c>
      <c r="E281" s="847"/>
      <c r="J281" s="770">
        <v>24</v>
      </c>
      <c r="K281" s="775"/>
      <c r="M281" s="775"/>
      <c r="O281" s="775">
        <f t="shared" ref="O281:O287" si="935">K281+M281</f>
        <v>0</v>
      </c>
      <c r="Q281" s="775"/>
      <c r="S281" s="775"/>
      <c r="U281" s="775">
        <f t="shared" ref="U281:U287" si="936">Q281+S281</f>
        <v>0</v>
      </c>
      <c r="W281" s="775"/>
      <c r="Y281" s="775"/>
      <c r="AA281" s="775">
        <f t="shared" ref="AA281:AA287" si="937">W281+Y281</f>
        <v>0</v>
      </c>
      <c r="AC281" s="775"/>
      <c r="AE281" s="775"/>
      <c r="AG281" s="775">
        <f t="shared" ref="AG281:AG287" si="938">AC281+AE281</f>
        <v>0</v>
      </c>
      <c r="AI281" s="775"/>
      <c r="AK281" s="970">
        <v>0</v>
      </c>
      <c r="AM281" s="775"/>
      <c r="AO281" s="775">
        <f t="shared" ref="AO281:AO287" si="939">AI281+AM281</f>
        <v>0</v>
      </c>
      <c r="AQ281" s="775"/>
      <c r="AS281" s="775"/>
      <c r="AU281" s="775">
        <f t="shared" ref="AU281:AU287" si="940">AQ281+AS281</f>
        <v>0</v>
      </c>
      <c r="AW281" s="775"/>
      <c r="AY281" s="775"/>
      <c r="BA281" s="775">
        <f t="shared" ref="BA281:BA287" si="941">AW281+AY281</f>
        <v>0</v>
      </c>
      <c r="BC281" s="775"/>
      <c r="BE281" s="775"/>
      <c r="BG281" s="775">
        <f t="shared" ref="BG281:BG287" si="942">BC281+BE281</f>
        <v>0</v>
      </c>
      <c r="BI281" s="775"/>
      <c r="BK281" s="775"/>
      <c r="BM281" s="775">
        <f t="shared" ref="BM281:BM287" si="943">BI281+BK281</f>
        <v>0</v>
      </c>
      <c r="BO281" s="775"/>
      <c r="BQ281" s="970"/>
      <c r="BS281" s="775"/>
      <c r="BU281" s="775">
        <f t="shared" ref="BU281:BU287" si="944">BO281+BS281</f>
        <v>0</v>
      </c>
      <c r="BW281" s="775"/>
      <c r="BZ281" s="970"/>
      <c r="CB281" s="775"/>
      <c r="CD281" s="970"/>
      <c r="CF281" s="775"/>
      <c r="CH281" s="775">
        <f t="shared" ref="CH281:CH287" si="945">BW281+CF281</f>
        <v>0</v>
      </c>
      <c r="CJ281" s="775"/>
      <c r="CL281" s="775"/>
      <c r="CN281" s="775">
        <f t="shared" ref="CN281:CN287" si="946">CJ281+CL281</f>
        <v>0</v>
      </c>
      <c r="CP281" s="775"/>
      <c r="CR281" s="775"/>
      <c r="CT281" s="775">
        <f t="shared" ref="CT281:CT287" si="947">CP281+CR281</f>
        <v>0</v>
      </c>
      <c r="CV281" s="971"/>
      <c r="CW281" s="968"/>
      <c r="CX281" s="971"/>
      <c r="CY281" s="968"/>
      <c r="CZ281" s="971">
        <f t="shared" ref="CZ281:CZ287" si="948">CV281+CX281</f>
        <v>0</v>
      </c>
      <c r="DB281" s="775"/>
      <c r="DD281" s="775"/>
      <c r="DF281" s="775">
        <f t="shared" ref="DF281:DF287" si="949">DB281+DD281</f>
        <v>0</v>
      </c>
      <c r="DH281" s="971"/>
      <c r="DI281" s="968"/>
      <c r="DJ281" s="971"/>
      <c r="DK281" s="968"/>
      <c r="DL281" s="971">
        <f t="shared" ref="DL281:DL287" si="950">DH281+DJ281</f>
        <v>0</v>
      </c>
      <c r="DN281" s="971"/>
      <c r="DO281" s="968"/>
      <c r="DP281" s="971"/>
      <c r="DQ281" s="968"/>
      <c r="DR281" s="971">
        <f t="shared" ref="DR281:DR287" si="951">DN281+DP281</f>
        <v>0</v>
      </c>
      <c r="DT281" s="775"/>
      <c r="DV281" s="971">
        <v>0</v>
      </c>
      <c r="DX281" s="775"/>
      <c r="DZ281" s="775">
        <f t="shared" ref="DZ281:DZ287" si="952">DT281+DX281</f>
        <v>0</v>
      </c>
      <c r="EB281" s="775"/>
      <c r="ED281" s="972"/>
      <c r="EF281" s="775"/>
      <c r="EH281" s="775">
        <f t="shared" ref="EH281:EH287" si="953">EB281+EF281</f>
        <v>0</v>
      </c>
      <c r="EJ281" s="775"/>
      <c r="EL281" s="775"/>
      <c r="EN281" s="775">
        <f t="shared" ref="EN281:EN287" si="954">EJ281+EL281</f>
        <v>0</v>
      </c>
      <c r="EP281" s="775"/>
      <c r="ER281" s="775"/>
      <c r="ET281" s="775">
        <f t="shared" ref="ET281:ET287" si="955">EP281+ER281</f>
        <v>0</v>
      </c>
      <c r="EV281" s="775">
        <v>9123072</v>
      </c>
      <c r="EX281" s="775"/>
      <c r="EZ281" s="775">
        <f t="shared" ref="EZ281:EZ287" si="956">EV281+EX281</f>
        <v>9123072</v>
      </c>
      <c r="FB281" s="775">
        <v>0</v>
      </c>
      <c r="FD281" s="775"/>
      <c r="FF281" s="775"/>
      <c r="FH281" s="775"/>
      <c r="FJ281" s="775">
        <f t="shared" ref="FJ281:FJ287" si="957">FF281+FH281</f>
        <v>0</v>
      </c>
      <c r="FL281" s="775"/>
      <c r="FN281" s="775"/>
      <c r="FP281" s="775">
        <f t="shared" ref="FP281:FP287" si="958">FL281+FN281</f>
        <v>0</v>
      </c>
      <c r="FR281" s="775"/>
      <c r="FT281" s="775"/>
      <c r="FV281" s="775">
        <f t="shared" ref="FV281:FV287" si="959">FR281+FT281</f>
        <v>0</v>
      </c>
      <c r="FX281" s="971"/>
      <c r="FY281" s="968"/>
      <c r="FZ281" s="971"/>
      <c r="GA281" s="968"/>
      <c r="GB281" s="971">
        <f t="shared" ref="GB281:GB287" si="960">FX281+FZ281</f>
        <v>0</v>
      </c>
      <c r="GC281" s="968"/>
      <c r="GD281" s="971"/>
      <c r="GE281" s="968"/>
      <c r="GF281" s="971"/>
      <c r="GG281" s="968"/>
      <c r="GH281" s="971">
        <v>0</v>
      </c>
      <c r="GK281" s="761">
        <f t="shared" ref="GK281:GK287" si="961">O281+U281+AA281+AG281+AO281+AU281+BA281+BG281+BM281+BU281+CH281+CN281+CT281+DF281+DZ281+EH281+EN281+ET281+EZ281+FJ281+FP281+FV281</f>
        <v>9123072</v>
      </c>
      <c r="GM281" s="761"/>
    </row>
    <row r="282" spans="2:195">
      <c r="B282" s="848"/>
      <c r="D282" s="848" t="s">
        <v>674</v>
      </c>
      <c r="E282" s="847"/>
      <c r="J282" s="758">
        <v>25</v>
      </c>
      <c r="K282" s="775"/>
      <c r="M282" s="775"/>
      <c r="O282" s="775">
        <f t="shared" si="935"/>
        <v>0</v>
      </c>
      <c r="Q282" s="775">
        <v>79467</v>
      </c>
      <c r="S282" s="775"/>
      <c r="U282" s="775">
        <f t="shared" si="936"/>
        <v>79467</v>
      </c>
      <c r="W282" s="775"/>
      <c r="Y282" s="775"/>
      <c r="AA282" s="775">
        <f t="shared" si="937"/>
        <v>0</v>
      </c>
      <c r="AC282" s="775"/>
      <c r="AE282" s="775"/>
      <c r="AG282" s="775">
        <f t="shared" si="938"/>
        <v>0</v>
      </c>
      <c r="AI282" s="775">
        <v>20168580</v>
      </c>
      <c r="AK282" s="970">
        <v>0</v>
      </c>
      <c r="AM282" s="775"/>
      <c r="AO282" s="775">
        <f t="shared" si="939"/>
        <v>20168580</v>
      </c>
      <c r="AQ282" s="775"/>
      <c r="AS282" s="775"/>
      <c r="AU282" s="775">
        <f t="shared" si="940"/>
        <v>0</v>
      </c>
      <c r="AW282" s="775"/>
      <c r="AY282" s="775"/>
      <c r="BA282" s="775">
        <f t="shared" si="941"/>
        <v>0</v>
      </c>
      <c r="BC282" s="775"/>
      <c r="BE282" s="775"/>
      <c r="BG282" s="775">
        <f t="shared" si="942"/>
        <v>0</v>
      </c>
      <c r="BI282" s="775"/>
      <c r="BK282" s="775"/>
      <c r="BM282" s="775">
        <f t="shared" si="943"/>
        <v>0</v>
      </c>
      <c r="BO282" s="775">
        <v>163360</v>
      </c>
      <c r="BQ282" s="970"/>
      <c r="BS282" s="775"/>
      <c r="BU282" s="775">
        <f t="shared" si="944"/>
        <v>163360</v>
      </c>
      <c r="BW282" s="775"/>
      <c r="BZ282" s="970"/>
      <c r="CB282" s="775"/>
      <c r="CD282" s="970"/>
      <c r="CF282" s="775"/>
      <c r="CH282" s="775">
        <f t="shared" si="945"/>
        <v>0</v>
      </c>
      <c r="CJ282" s="775"/>
      <c r="CL282" s="775"/>
      <c r="CN282" s="775">
        <f t="shared" si="946"/>
        <v>0</v>
      </c>
      <c r="CP282" s="775">
        <v>659305</v>
      </c>
      <c r="CR282" s="775"/>
      <c r="CT282" s="775">
        <f t="shared" si="947"/>
        <v>659305</v>
      </c>
      <c r="CV282" s="971"/>
      <c r="CW282" s="968"/>
      <c r="CX282" s="971"/>
      <c r="CY282" s="968"/>
      <c r="CZ282" s="971">
        <f t="shared" si="948"/>
        <v>0</v>
      </c>
      <c r="DB282" s="775"/>
      <c r="DD282" s="775"/>
      <c r="DF282" s="775">
        <f t="shared" si="949"/>
        <v>0</v>
      </c>
      <c r="DH282" s="971"/>
      <c r="DI282" s="968"/>
      <c r="DJ282" s="971"/>
      <c r="DK282" s="968"/>
      <c r="DL282" s="971">
        <f t="shared" si="950"/>
        <v>0</v>
      </c>
      <c r="DN282" s="971"/>
      <c r="DO282" s="968"/>
      <c r="DP282" s="971"/>
      <c r="DQ282" s="968"/>
      <c r="DR282" s="971">
        <f t="shared" si="951"/>
        <v>0</v>
      </c>
      <c r="DT282" s="775"/>
      <c r="DV282" s="971">
        <v>0</v>
      </c>
      <c r="DX282" s="775"/>
      <c r="DZ282" s="775">
        <f t="shared" si="952"/>
        <v>0</v>
      </c>
      <c r="EB282" s="775">
        <v>2865230</v>
      </c>
      <c r="ED282" s="972">
        <v>0</v>
      </c>
      <c r="EF282" s="775"/>
      <c r="EH282" s="775">
        <f t="shared" si="953"/>
        <v>2865230</v>
      </c>
      <c r="EJ282" s="775">
        <v>1467168</v>
      </c>
      <c r="EL282" s="775"/>
      <c r="EN282" s="775">
        <f t="shared" si="954"/>
        <v>1467168</v>
      </c>
      <c r="EP282" s="775">
        <v>5108970</v>
      </c>
      <c r="ER282" s="775"/>
      <c r="ET282" s="775">
        <f t="shared" si="955"/>
        <v>5108970</v>
      </c>
      <c r="EV282" s="775"/>
      <c r="EX282" s="775"/>
      <c r="EZ282" s="775">
        <f t="shared" si="956"/>
        <v>0</v>
      </c>
      <c r="FB282" s="775">
        <v>0</v>
      </c>
      <c r="FD282" s="775"/>
      <c r="FF282" s="775"/>
      <c r="FH282" s="775"/>
      <c r="FJ282" s="775">
        <f t="shared" si="957"/>
        <v>0</v>
      </c>
      <c r="FL282" s="775">
        <v>706434</v>
      </c>
      <c r="FN282" s="775"/>
      <c r="FP282" s="775">
        <f t="shared" si="958"/>
        <v>706434</v>
      </c>
      <c r="FR282" s="775">
        <v>3770113</v>
      </c>
      <c r="FT282" s="775"/>
      <c r="FV282" s="775">
        <f t="shared" si="959"/>
        <v>3770113</v>
      </c>
      <c r="FX282" s="971"/>
      <c r="FY282" s="968"/>
      <c r="FZ282" s="971"/>
      <c r="GA282" s="968"/>
      <c r="GB282" s="971">
        <f t="shared" si="960"/>
        <v>0</v>
      </c>
      <c r="GC282" s="968"/>
      <c r="GD282" s="971"/>
      <c r="GE282" s="968"/>
      <c r="GF282" s="971"/>
      <c r="GG282" s="968"/>
      <c r="GH282" s="971">
        <v>0</v>
      </c>
      <c r="GK282" s="761">
        <f t="shared" si="961"/>
        <v>34988627</v>
      </c>
      <c r="GM282" s="761"/>
    </row>
    <row r="283" spans="2:195">
      <c r="B283" s="848"/>
      <c r="D283" s="848" t="s">
        <v>675</v>
      </c>
      <c r="E283" s="847"/>
      <c r="J283" s="758">
        <v>26</v>
      </c>
      <c r="K283" s="775"/>
      <c r="M283" s="775"/>
      <c r="O283" s="775">
        <f t="shared" si="935"/>
        <v>0</v>
      </c>
      <c r="Q283" s="775"/>
      <c r="S283" s="775"/>
      <c r="U283" s="775">
        <f t="shared" si="936"/>
        <v>0</v>
      </c>
      <c r="W283" s="775"/>
      <c r="Y283" s="775"/>
      <c r="AA283" s="775">
        <f t="shared" si="937"/>
        <v>0</v>
      </c>
      <c r="AC283" s="775"/>
      <c r="AE283" s="775"/>
      <c r="AG283" s="775">
        <f t="shared" si="938"/>
        <v>0</v>
      </c>
      <c r="AI283" s="775"/>
      <c r="AK283" s="970">
        <v>0</v>
      </c>
      <c r="AM283" s="775"/>
      <c r="AO283" s="775">
        <f t="shared" si="939"/>
        <v>0</v>
      </c>
      <c r="AQ283" s="775"/>
      <c r="AS283" s="775"/>
      <c r="AU283" s="775">
        <f t="shared" si="940"/>
        <v>0</v>
      </c>
      <c r="AW283" s="775"/>
      <c r="AY283" s="775"/>
      <c r="BA283" s="775">
        <f t="shared" si="941"/>
        <v>0</v>
      </c>
      <c r="BC283" s="775"/>
      <c r="BE283" s="775"/>
      <c r="BG283" s="775">
        <f t="shared" si="942"/>
        <v>0</v>
      </c>
      <c r="BI283" s="775"/>
      <c r="BK283" s="775"/>
      <c r="BM283" s="775">
        <f t="shared" si="943"/>
        <v>0</v>
      </c>
      <c r="BO283" s="775"/>
      <c r="BQ283" s="970"/>
      <c r="BS283" s="775"/>
      <c r="BU283" s="775">
        <f t="shared" si="944"/>
        <v>0</v>
      </c>
      <c r="BW283" s="775"/>
      <c r="BZ283" s="970"/>
      <c r="CB283" s="775"/>
      <c r="CD283" s="970"/>
      <c r="CF283" s="775"/>
      <c r="CH283" s="775">
        <f t="shared" si="945"/>
        <v>0</v>
      </c>
      <c r="CJ283" s="775"/>
      <c r="CL283" s="775"/>
      <c r="CN283" s="775">
        <f t="shared" si="946"/>
        <v>0</v>
      </c>
      <c r="CP283" s="775">
        <v>30155</v>
      </c>
      <c r="CR283" s="775"/>
      <c r="CT283" s="775">
        <f t="shared" si="947"/>
        <v>30155</v>
      </c>
      <c r="CV283" s="971"/>
      <c r="CW283" s="968"/>
      <c r="CX283" s="971"/>
      <c r="CY283" s="968"/>
      <c r="CZ283" s="971">
        <f t="shared" si="948"/>
        <v>0</v>
      </c>
      <c r="DB283" s="775"/>
      <c r="DD283" s="775"/>
      <c r="DF283" s="775">
        <f t="shared" si="949"/>
        <v>0</v>
      </c>
      <c r="DH283" s="971"/>
      <c r="DI283" s="968"/>
      <c r="DJ283" s="971"/>
      <c r="DK283" s="968"/>
      <c r="DL283" s="971">
        <f t="shared" si="950"/>
        <v>0</v>
      </c>
      <c r="DN283" s="971"/>
      <c r="DO283" s="968"/>
      <c r="DP283" s="971"/>
      <c r="DQ283" s="968"/>
      <c r="DR283" s="971">
        <f t="shared" si="951"/>
        <v>0</v>
      </c>
      <c r="DT283" s="775"/>
      <c r="DV283" s="971">
        <v>0</v>
      </c>
      <c r="DX283" s="775"/>
      <c r="DZ283" s="775">
        <f t="shared" si="952"/>
        <v>0</v>
      </c>
      <c r="EB283" s="775"/>
      <c r="ED283" s="972">
        <v>0</v>
      </c>
      <c r="EF283" s="775"/>
      <c r="EH283" s="775">
        <f t="shared" si="953"/>
        <v>0</v>
      </c>
      <c r="EJ283" s="775"/>
      <c r="EL283" s="775"/>
      <c r="EN283" s="775">
        <f t="shared" si="954"/>
        <v>0</v>
      </c>
      <c r="EP283" s="775"/>
      <c r="ER283" s="775"/>
      <c r="ET283" s="775">
        <f t="shared" si="955"/>
        <v>0</v>
      </c>
      <c r="EV283" s="775">
        <v>248295087</v>
      </c>
      <c r="EX283" s="775"/>
      <c r="EZ283" s="775">
        <f t="shared" si="956"/>
        <v>248295087</v>
      </c>
      <c r="FB283" s="775">
        <v>0</v>
      </c>
      <c r="FD283" s="775"/>
      <c r="FF283" s="775"/>
      <c r="FH283" s="775"/>
      <c r="FJ283" s="775">
        <f t="shared" si="957"/>
        <v>0</v>
      </c>
      <c r="FL283" s="775">
        <v>16609</v>
      </c>
      <c r="FN283" s="775"/>
      <c r="FP283" s="775">
        <f t="shared" si="958"/>
        <v>16609</v>
      </c>
      <c r="FR283" s="775"/>
      <c r="FT283" s="775"/>
      <c r="FV283" s="775">
        <f t="shared" si="959"/>
        <v>0</v>
      </c>
      <c r="FX283" s="971"/>
      <c r="FY283" s="968"/>
      <c r="FZ283" s="971"/>
      <c r="GA283" s="968"/>
      <c r="GB283" s="971">
        <f t="shared" si="960"/>
        <v>0</v>
      </c>
      <c r="GC283" s="968"/>
      <c r="GD283" s="971"/>
      <c r="GE283" s="968"/>
      <c r="GF283" s="971"/>
      <c r="GG283" s="968"/>
      <c r="GH283" s="971">
        <v>0</v>
      </c>
      <c r="GK283" s="761">
        <f t="shared" si="961"/>
        <v>248341851</v>
      </c>
      <c r="GM283" s="761"/>
    </row>
    <row r="284" spans="2:195">
      <c r="B284" s="848"/>
      <c r="D284" s="848" t="s">
        <v>466</v>
      </c>
      <c r="E284" s="847"/>
      <c r="J284" s="770">
        <v>27</v>
      </c>
      <c r="K284" s="775"/>
      <c r="M284" s="775"/>
      <c r="O284" s="775">
        <f t="shared" si="935"/>
        <v>0</v>
      </c>
      <c r="Q284" s="775"/>
      <c r="S284" s="775"/>
      <c r="U284" s="775">
        <f t="shared" si="936"/>
        <v>0</v>
      </c>
      <c r="W284" s="775"/>
      <c r="Y284" s="775"/>
      <c r="AA284" s="775">
        <f t="shared" si="937"/>
        <v>0</v>
      </c>
      <c r="AC284" s="775"/>
      <c r="AE284" s="775"/>
      <c r="AG284" s="775">
        <f t="shared" si="938"/>
        <v>0</v>
      </c>
      <c r="AI284" s="775"/>
      <c r="AK284" s="970">
        <v>0</v>
      </c>
      <c r="AM284" s="775"/>
      <c r="AO284" s="775">
        <f t="shared" si="939"/>
        <v>0</v>
      </c>
      <c r="AQ284" s="775"/>
      <c r="AS284" s="775"/>
      <c r="AU284" s="775">
        <f t="shared" si="940"/>
        <v>0</v>
      </c>
      <c r="AW284" s="775"/>
      <c r="AY284" s="775"/>
      <c r="BA284" s="775">
        <f t="shared" si="941"/>
        <v>0</v>
      </c>
      <c r="BC284" s="775"/>
      <c r="BE284" s="775"/>
      <c r="BG284" s="775">
        <f t="shared" si="942"/>
        <v>0</v>
      </c>
      <c r="BI284" s="775"/>
      <c r="BK284" s="775"/>
      <c r="BM284" s="775">
        <f t="shared" si="943"/>
        <v>0</v>
      </c>
      <c r="BO284" s="775"/>
      <c r="BQ284" s="970"/>
      <c r="BS284" s="775"/>
      <c r="BU284" s="775">
        <f t="shared" si="944"/>
        <v>0</v>
      </c>
      <c r="BW284" s="775"/>
      <c r="BZ284" s="970"/>
      <c r="CB284" s="775"/>
      <c r="CD284" s="970"/>
      <c r="CF284" s="775"/>
      <c r="CH284" s="775">
        <f t="shared" si="945"/>
        <v>0</v>
      </c>
      <c r="CJ284" s="775"/>
      <c r="CL284" s="775"/>
      <c r="CN284" s="775">
        <f t="shared" si="946"/>
        <v>0</v>
      </c>
      <c r="CP284" s="775"/>
      <c r="CR284" s="775"/>
      <c r="CT284" s="775">
        <f t="shared" si="947"/>
        <v>0</v>
      </c>
      <c r="CV284" s="971"/>
      <c r="CW284" s="968"/>
      <c r="CX284" s="971"/>
      <c r="CY284" s="968"/>
      <c r="CZ284" s="971">
        <f t="shared" si="948"/>
        <v>0</v>
      </c>
      <c r="DB284" s="775"/>
      <c r="DD284" s="775"/>
      <c r="DF284" s="775">
        <f t="shared" si="949"/>
        <v>0</v>
      </c>
      <c r="DH284" s="971"/>
      <c r="DI284" s="968"/>
      <c r="DJ284" s="971"/>
      <c r="DK284" s="968"/>
      <c r="DL284" s="971">
        <f t="shared" si="950"/>
        <v>0</v>
      </c>
      <c r="DN284" s="971"/>
      <c r="DO284" s="968"/>
      <c r="DP284" s="971"/>
      <c r="DQ284" s="968"/>
      <c r="DR284" s="971">
        <f t="shared" si="951"/>
        <v>0</v>
      </c>
      <c r="DT284" s="775"/>
      <c r="DV284" s="971">
        <v>0</v>
      </c>
      <c r="DX284" s="775"/>
      <c r="DZ284" s="775">
        <f t="shared" si="952"/>
        <v>0</v>
      </c>
      <c r="EB284" s="775"/>
      <c r="ED284" s="972">
        <v>0</v>
      </c>
      <c r="EF284" s="775"/>
      <c r="EH284" s="775">
        <f t="shared" si="953"/>
        <v>0</v>
      </c>
      <c r="EJ284" s="775"/>
      <c r="EL284" s="775"/>
      <c r="EN284" s="775">
        <f t="shared" si="954"/>
        <v>0</v>
      </c>
      <c r="EP284" s="775"/>
      <c r="ER284" s="775"/>
      <c r="ET284" s="775">
        <f t="shared" si="955"/>
        <v>0</v>
      </c>
      <c r="EV284" s="775"/>
      <c r="EX284" s="775"/>
      <c r="EZ284" s="775">
        <f t="shared" si="956"/>
        <v>0</v>
      </c>
      <c r="FB284" s="775">
        <v>0</v>
      </c>
      <c r="FD284" s="775"/>
      <c r="FF284" s="775"/>
      <c r="FH284" s="775"/>
      <c r="FJ284" s="775">
        <f t="shared" si="957"/>
        <v>0</v>
      </c>
      <c r="FL284" s="775"/>
      <c r="FN284" s="775"/>
      <c r="FP284" s="775">
        <f t="shared" si="958"/>
        <v>0</v>
      </c>
      <c r="FR284" s="775"/>
      <c r="FT284" s="775"/>
      <c r="FV284" s="775">
        <f t="shared" si="959"/>
        <v>0</v>
      </c>
      <c r="FX284" s="971"/>
      <c r="FY284" s="968"/>
      <c r="FZ284" s="971"/>
      <c r="GA284" s="968"/>
      <c r="GB284" s="971">
        <f t="shared" si="960"/>
        <v>0</v>
      </c>
      <c r="GC284" s="968"/>
      <c r="GD284" s="971"/>
      <c r="GE284" s="968"/>
      <c r="GF284" s="971"/>
      <c r="GG284" s="968"/>
      <c r="GH284" s="971">
        <v>0</v>
      </c>
      <c r="GK284" s="761">
        <f t="shared" si="961"/>
        <v>0</v>
      </c>
      <c r="GM284" s="761"/>
    </row>
    <row r="285" spans="2:195">
      <c r="B285" s="848"/>
      <c r="D285" s="848" t="s">
        <v>1416</v>
      </c>
      <c r="E285" s="847"/>
      <c r="J285" s="758">
        <v>28</v>
      </c>
      <c r="K285" s="775"/>
      <c r="M285" s="775"/>
      <c r="O285" s="775">
        <f t="shared" si="935"/>
        <v>0</v>
      </c>
      <c r="Q285" s="775"/>
      <c r="S285" s="775"/>
      <c r="U285" s="775">
        <f t="shared" si="936"/>
        <v>0</v>
      </c>
      <c r="W285" s="775"/>
      <c r="Y285" s="775"/>
      <c r="AA285" s="775">
        <f t="shared" si="937"/>
        <v>0</v>
      </c>
      <c r="AC285" s="775"/>
      <c r="AE285" s="775"/>
      <c r="AG285" s="775">
        <f t="shared" si="938"/>
        <v>0</v>
      </c>
      <c r="AI285" s="775"/>
      <c r="AK285" s="970">
        <v>0</v>
      </c>
      <c r="AM285" s="775"/>
      <c r="AO285" s="775">
        <f t="shared" si="939"/>
        <v>0</v>
      </c>
      <c r="AQ285" s="775"/>
      <c r="AS285" s="775"/>
      <c r="AU285" s="775">
        <f t="shared" si="940"/>
        <v>0</v>
      </c>
      <c r="AW285" s="775"/>
      <c r="AY285" s="775"/>
      <c r="BA285" s="775">
        <f t="shared" si="941"/>
        <v>0</v>
      </c>
      <c r="BC285" s="775"/>
      <c r="BE285" s="775"/>
      <c r="BG285" s="775">
        <f t="shared" si="942"/>
        <v>0</v>
      </c>
      <c r="BI285" s="775"/>
      <c r="BK285" s="775"/>
      <c r="BM285" s="775">
        <f t="shared" si="943"/>
        <v>0</v>
      </c>
      <c r="BO285" s="775"/>
      <c r="BQ285" s="970"/>
      <c r="BS285" s="775"/>
      <c r="BU285" s="775">
        <f t="shared" si="944"/>
        <v>0</v>
      </c>
      <c r="BW285" s="775"/>
      <c r="BZ285" s="970"/>
      <c r="CB285" s="775"/>
      <c r="CD285" s="970"/>
      <c r="CF285" s="775"/>
      <c r="CH285" s="775">
        <f t="shared" si="945"/>
        <v>0</v>
      </c>
      <c r="CJ285" s="775"/>
      <c r="CL285" s="775"/>
      <c r="CN285" s="775">
        <f t="shared" si="946"/>
        <v>0</v>
      </c>
      <c r="CP285" s="775"/>
      <c r="CR285" s="775"/>
      <c r="CT285" s="775">
        <f t="shared" si="947"/>
        <v>0</v>
      </c>
      <c r="CV285" s="971"/>
      <c r="CW285" s="968"/>
      <c r="CX285" s="971"/>
      <c r="CY285" s="968"/>
      <c r="CZ285" s="971">
        <f t="shared" si="948"/>
        <v>0</v>
      </c>
      <c r="DB285" s="775"/>
      <c r="DD285" s="775"/>
      <c r="DF285" s="775">
        <f t="shared" si="949"/>
        <v>0</v>
      </c>
      <c r="DH285" s="971"/>
      <c r="DI285" s="968"/>
      <c r="DJ285" s="971"/>
      <c r="DK285" s="968"/>
      <c r="DL285" s="971">
        <f t="shared" si="950"/>
        <v>0</v>
      </c>
      <c r="DN285" s="971"/>
      <c r="DO285" s="968"/>
      <c r="DP285" s="971"/>
      <c r="DQ285" s="968"/>
      <c r="DR285" s="971">
        <f t="shared" si="951"/>
        <v>0</v>
      </c>
      <c r="DT285" s="775"/>
      <c r="DV285" s="971">
        <v>0</v>
      </c>
      <c r="DX285" s="775"/>
      <c r="DZ285" s="775">
        <f t="shared" si="952"/>
        <v>0</v>
      </c>
      <c r="EB285" s="775"/>
      <c r="ED285" s="972">
        <v>0</v>
      </c>
      <c r="EF285" s="775"/>
      <c r="EH285" s="775">
        <f t="shared" si="953"/>
        <v>0</v>
      </c>
      <c r="EJ285" s="775"/>
      <c r="EL285" s="775"/>
      <c r="EN285" s="775">
        <f t="shared" si="954"/>
        <v>0</v>
      </c>
      <c r="EP285" s="775"/>
      <c r="ER285" s="775"/>
      <c r="ET285" s="775">
        <f t="shared" si="955"/>
        <v>0</v>
      </c>
      <c r="EV285" s="775">
        <v>4059532415</v>
      </c>
      <c r="EX285" s="775"/>
      <c r="EZ285" s="775">
        <f t="shared" si="956"/>
        <v>4059532415</v>
      </c>
      <c r="FB285" s="775">
        <v>0</v>
      </c>
      <c r="FD285" s="775"/>
      <c r="FF285" s="775"/>
      <c r="FH285" s="775"/>
      <c r="FJ285" s="775">
        <f t="shared" si="957"/>
        <v>0</v>
      </c>
      <c r="FL285" s="775"/>
      <c r="FN285" s="775"/>
      <c r="FP285" s="775">
        <f t="shared" si="958"/>
        <v>0</v>
      </c>
      <c r="FR285" s="775"/>
      <c r="FT285" s="775"/>
      <c r="FV285" s="775">
        <f t="shared" si="959"/>
        <v>0</v>
      </c>
      <c r="FX285" s="971"/>
      <c r="FY285" s="968"/>
      <c r="FZ285" s="971"/>
      <c r="GA285" s="968"/>
      <c r="GB285" s="971">
        <f t="shared" si="960"/>
        <v>0</v>
      </c>
      <c r="GC285" s="968"/>
      <c r="GD285" s="971"/>
      <c r="GE285" s="968"/>
      <c r="GF285" s="971"/>
      <c r="GG285" s="968"/>
      <c r="GH285" s="971">
        <v>0</v>
      </c>
      <c r="GK285" s="761">
        <f t="shared" si="961"/>
        <v>4059532415</v>
      </c>
      <c r="GM285" s="761"/>
    </row>
    <row r="286" spans="2:195">
      <c r="B286" s="848"/>
      <c r="D286" s="847" t="s">
        <v>1733</v>
      </c>
      <c r="E286" s="847"/>
      <c r="I286" s="850" t="s">
        <v>1734</v>
      </c>
      <c r="J286" s="770">
        <v>29</v>
      </c>
      <c r="K286" s="775"/>
      <c r="M286" s="775"/>
      <c r="O286" s="775">
        <f t="shared" si="935"/>
        <v>0</v>
      </c>
      <c r="Q286" s="775"/>
      <c r="S286" s="775"/>
      <c r="U286" s="775">
        <f t="shared" si="936"/>
        <v>0</v>
      </c>
      <c r="W286" s="775"/>
      <c r="Y286" s="775"/>
      <c r="AA286" s="775">
        <f t="shared" si="937"/>
        <v>0</v>
      </c>
      <c r="AC286" s="775"/>
      <c r="AE286" s="775"/>
      <c r="AG286" s="775">
        <f t="shared" si="938"/>
        <v>0</v>
      </c>
      <c r="AI286" s="775"/>
      <c r="AK286" s="970">
        <v>0</v>
      </c>
      <c r="AM286" s="775"/>
      <c r="AO286" s="775">
        <f t="shared" si="939"/>
        <v>0</v>
      </c>
      <c r="AQ286" s="775"/>
      <c r="AS286" s="775"/>
      <c r="AU286" s="775">
        <f t="shared" si="940"/>
        <v>0</v>
      </c>
      <c r="AW286" s="775"/>
      <c r="AY286" s="775"/>
      <c r="BA286" s="775">
        <f t="shared" si="941"/>
        <v>0</v>
      </c>
      <c r="BC286" s="775"/>
      <c r="BE286" s="775"/>
      <c r="BG286" s="775">
        <f t="shared" si="942"/>
        <v>0</v>
      </c>
      <c r="BI286" s="775"/>
      <c r="BK286" s="775"/>
      <c r="BM286" s="775">
        <f t="shared" si="943"/>
        <v>0</v>
      </c>
      <c r="BO286" s="775"/>
      <c r="BQ286" s="970"/>
      <c r="BS286" s="775"/>
      <c r="BU286" s="775">
        <f t="shared" si="944"/>
        <v>0</v>
      </c>
      <c r="BW286" s="775"/>
      <c r="BZ286" s="970"/>
      <c r="CB286" s="775"/>
      <c r="CD286" s="970"/>
      <c r="CF286" s="775"/>
      <c r="CH286" s="775">
        <f t="shared" si="945"/>
        <v>0</v>
      </c>
      <c r="CJ286" s="775"/>
      <c r="CL286" s="775"/>
      <c r="CN286" s="775">
        <f t="shared" si="946"/>
        <v>0</v>
      </c>
      <c r="CP286" s="775"/>
      <c r="CR286" s="775"/>
      <c r="CT286" s="775">
        <f t="shared" si="947"/>
        <v>0</v>
      </c>
      <c r="CV286" s="971"/>
      <c r="CW286" s="968"/>
      <c r="CX286" s="971"/>
      <c r="CY286" s="968"/>
      <c r="CZ286" s="971">
        <f t="shared" si="948"/>
        <v>0</v>
      </c>
      <c r="DB286" s="775"/>
      <c r="DD286" s="775"/>
      <c r="DF286" s="775">
        <f t="shared" si="949"/>
        <v>0</v>
      </c>
      <c r="DH286" s="971"/>
      <c r="DI286" s="968"/>
      <c r="DJ286" s="971"/>
      <c r="DK286" s="968"/>
      <c r="DL286" s="971">
        <f t="shared" si="950"/>
        <v>0</v>
      </c>
      <c r="DN286" s="971"/>
      <c r="DO286" s="968"/>
      <c r="DP286" s="971"/>
      <c r="DQ286" s="968"/>
      <c r="DR286" s="971">
        <f t="shared" si="951"/>
        <v>0</v>
      </c>
      <c r="DT286" s="775"/>
      <c r="DV286" s="971">
        <v>0</v>
      </c>
      <c r="DX286" s="775"/>
      <c r="DZ286" s="775">
        <f t="shared" si="952"/>
        <v>0</v>
      </c>
      <c r="EB286" s="775"/>
      <c r="ED286" s="972">
        <v>0</v>
      </c>
      <c r="EF286" s="775"/>
      <c r="EH286" s="775">
        <f t="shared" si="953"/>
        <v>0</v>
      </c>
      <c r="EJ286" s="775"/>
      <c r="EL286" s="775"/>
      <c r="EN286" s="775">
        <f t="shared" si="954"/>
        <v>0</v>
      </c>
      <c r="EP286" s="775"/>
      <c r="ER286" s="775"/>
      <c r="ET286" s="775">
        <f t="shared" si="955"/>
        <v>0</v>
      </c>
      <c r="EV286" s="775"/>
      <c r="EX286" s="775"/>
      <c r="EZ286" s="775">
        <f t="shared" si="956"/>
        <v>0</v>
      </c>
      <c r="FB286" s="775">
        <v>0</v>
      </c>
      <c r="FD286" s="775"/>
      <c r="FF286" s="775"/>
      <c r="FH286" s="775"/>
      <c r="FJ286" s="775">
        <f t="shared" si="957"/>
        <v>0</v>
      </c>
      <c r="FL286" s="775"/>
      <c r="FN286" s="775"/>
      <c r="FP286" s="775">
        <f t="shared" si="958"/>
        <v>0</v>
      </c>
      <c r="FR286" s="775"/>
      <c r="FT286" s="775"/>
      <c r="FV286" s="775">
        <f t="shared" si="959"/>
        <v>0</v>
      </c>
      <c r="FX286" s="971"/>
      <c r="FY286" s="968"/>
      <c r="FZ286" s="971"/>
      <c r="GA286" s="968"/>
      <c r="GB286" s="971">
        <f t="shared" si="960"/>
        <v>0</v>
      </c>
      <c r="GC286" s="968"/>
      <c r="GD286" s="971"/>
      <c r="GE286" s="968"/>
      <c r="GF286" s="971"/>
      <c r="GG286" s="968"/>
      <c r="GH286" s="971">
        <v>0</v>
      </c>
      <c r="GK286" s="761">
        <f t="shared" si="961"/>
        <v>0</v>
      </c>
      <c r="GM286" s="761"/>
    </row>
    <row r="287" spans="2:195">
      <c r="B287" s="848"/>
      <c r="D287" s="847" t="s">
        <v>1467</v>
      </c>
      <c r="E287" s="847"/>
      <c r="I287" s="780" t="s">
        <v>1471</v>
      </c>
      <c r="J287" s="758">
        <v>30</v>
      </c>
      <c r="K287" s="775"/>
      <c r="M287" s="775"/>
      <c r="O287" s="775">
        <f t="shared" si="935"/>
        <v>0</v>
      </c>
      <c r="Q287" s="775"/>
      <c r="S287" s="775"/>
      <c r="U287" s="775">
        <f t="shared" si="936"/>
        <v>0</v>
      </c>
      <c r="W287" s="775"/>
      <c r="Y287" s="775"/>
      <c r="AA287" s="775">
        <f t="shared" si="937"/>
        <v>0</v>
      </c>
      <c r="AC287" s="775"/>
      <c r="AE287" s="775"/>
      <c r="AG287" s="775">
        <f t="shared" si="938"/>
        <v>0</v>
      </c>
      <c r="AI287" s="775"/>
      <c r="AK287" s="970">
        <v>0</v>
      </c>
      <c r="AM287" s="775"/>
      <c r="AO287" s="775">
        <f t="shared" si="939"/>
        <v>0</v>
      </c>
      <c r="AQ287" s="775"/>
      <c r="AS287" s="775"/>
      <c r="AU287" s="775">
        <f t="shared" si="940"/>
        <v>0</v>
      </c>
      <c r="AW287" s="775"/>
      <c r="AY287" s="775"/>
      <c r="BA287" s="775">
        <f t="shared" si="941"/>
        <v>0</v>
      </c>
      <c r="BC287" s="775"/>
      <c r="BE287" s="775"/>
      <c r="BG287" s="775">
        <f t="shared" si="942"/>
        <v>0</v>
      </c>
      <c r="BI287" s="775"/>
      <c r="BK287" s="775"/>
      <c r="BM287" s="775">
        <f t="shared" si="943"/>
        <v>0</v>
      </c>
      <c r="BO287" s="775"/>
      <c r="BQ287" s="970"/>
      <c r="BS287" s="775"/>
      <c r="BU287" s="775">
        <f t="shared" si="944"/>
        <v>0</v>
      </c>
      <c r="BW287" s="775"/>
      <c r="BZ287" s="970"/>
      <c r="CB287" s="775"/>
      <c r="CD287" s="970"/>
      <c r="CF287" s="775"/>
      <c r="CH287" s="775">
        <f t="shared" si="945"/>
        <v>0</v>
      </c>
      <c r="CJ287" s="775"/>
      <c r="CL287" s="775"/>
      <c r="CN287" s="775">
        <f t="shared" si="946"/>
        <v>0</v>
      </c>
      <c r="CP287" s="775"/>
      <c r="CR287" s="775"/>
      <c r="CT287" s="775">
        <f t="shared" si="947"/>
        <v>0</v>
      </c>
      <c r="CV287" s="971"/>
      <c r="CW287" s="968"/>
      <c r="CX287" s="971"/>
      <c r="CY287" s="968"/>
      <c r="CZ287" s="971">
        <f t="shared" si="948"/>
        <v>0</v>
      </c>
      <c r="DB287" s="775"/>
      <c r="DD287" s="775"/>
      <c r="DF287" s="775">
        <f t="shared" si="949"/>
        <v>0</v>
      </c>
      <c r="DH287" s="971"/>
      <c r="DI287" s="968"/>
      <c r="DJ287" s="971"/>
      <c r="DK287" s="968"/>
      <c r="DL287" s="971">
        <f t="shared" si="950"/>
        <v>0</v>
      </c>
      <c r="DN287" s="971"/>
      <c r="DO287" s="968"/>
      <c r="DP287" s="971"/>
      <c r="DQ287" s="968"/>
      <c r="DR287" s="971">
        <f t="shared" si="951"/>
        <v>0</v>
      </c>
      <c r="DT287" s="775"/>
      <c r="DV287" s="971">
        <v>0</v>
      </c>
      <c r="DX287" s="775"/>
      <c r="DZ287" s="775">
        <f t="shared" si="952"/>
        <v>0</v>
      </c>
      <c r="EB287" s="775">
        <v>199532</v>
      </c>
      <c r="ED287" s="972">
        <v>0</v>
      </c>
      <c r="EF287" s="775"/>
      <c r="EH287" s="775">
        <f t="shared" si="953"/>
        <v>199532</v>
      </c>
      <c r="EJ287" s="775"/>
      <c r="EL287" s="775"/>
      <c r="EN287" s="775">
        <f t="shared" si="954"/>
        <v>0</v>
      </c>
      <c r="EP287" s="775">
        <v>36436160</v>
      </c>
      <c r="ER287" s="775"/>
      <c r="ET287" s="775">
        <f t="shared" si="955"/>
        <v>36436160</v>
      </c>
      <c r="EV287" s="775">
        <v>3510135</v>
      </c>
      <c r="EX287" s="775"/>
      <c r="EZ287" s="775">
        <f t="shared" si="956"/>
        <v>3510135</v>
      </c>
      <c r="FB287" s="775">
        <v>0</v>
      </c>
      <c r="FD287" s="775"/>
      <c r="FF287" s="775"/>
      <c r="FH287" s="775"/>
      <c r="FJ287" s="775">
        <f t="shared" si="957"/>
        <v>0</v>
      </c>
      <c r="FL287" s="775">
        <v>63777</v>
      </c>
      <c r="FN287" s="775"/>
      <c r="FP287" s="775">
        <f t="shared" si="958"/>
        <v>63777</v>
      </c>
      <c r="FR287" s="775"/>
      <c r="FT287" s="775"/>
      <c r="FV287" s="775">
        <f t="shared" si="959"/>
        <v>0</v>
      </c>
      <c r="FX287" s="971"/>
      <c r="FY287" s="968"/>
      <c r="FZ287" s="971"/>
      <c r="GA287" s="968"/>
      <c r="GB287" s="971">
        <f t="shared" si="960"/>
        <v>0</v>
      </c>
      <c r="GC287" s="968"/>
      <c r="GD287" s="971"/>
      <c r="GE287" s="968"/>
      <c r="GF287" s="971"/>
      <c r="GG287" s="968"/>
      <c r="GH287" s="971">
        <v>0</v>
      </c>
      <c r="GK287" s="761">
        <f t="shared" si="961"/>
        <v>40209604</v>
      </c>
      <c r="GM287" s="761"/>
    </row>
    <row r="288" spans="2:195">
      <c r="B288" s="848"/>
      <c r="D288" s="848"/>
      <c r="E288" s="847"/>
      <c r="J288" s="758">
        <v>31</v>
      </c>
      <c r="K288" s="777"/>
      <c r="M288" s="777"/>
      <c r="O288" s="777"/>
      <c r="Q288" s="777"/>
      <c r="S288" s="777"/>
      <c r="U288" s="777"/>
      <c r="W288" s="777"/>
      <c r="Y288" s="777"/>
      <c r="AA288" s="777"/>
      <c r="AC288" s="777"/>
      <c r="AE288" s="777"/>
      <c r="AG288" s="777"/>
      <c r="AI288" s="777"/>
      <c r="AK288" s="777"/>
      <c r="AM288" s="777"/>
      <c r="AO288" s="777"/>
      <c r="AQ288" s="777"/>
      <c r="AS288" s="777"/>
      <c r="AU288" s="777"/>
      <c r="AW288" s="777"/>
      <c r="AY288" s="777"/>
      <c r="BA288" s="777"/>
      <c r="BC288" s="777"/>
      <c r="BE288" s="777"/>
      <c r="BG288" s="777"/>
      <c r="BI288" s="777"/>
      <c r="BK288" s="777"/>
      <c r="BM288" s="777"/>
      <c r="BO288" s="777"/>
      <c r="BQ288" s="777"/>
      <c r="BS288" s="777"/>
      <c r="BU288" s="777"/>
      <c r="BW288" s="777"/>
      <c r="BZ288" s="777"/>
      <c r="CB288" s="777"/>
      <c r="CD288" s="777"/>
      <c r="CF288" s="777"/>
      <c r="CH288" s="777"/>
      <c r="CJ288" s="777"/>
      <c r="CL288" s="777"/>
      <c r="CN288" s="777"/>
      <c r="CP288" s="777"/>
      <c r="CR288" s="777"/>
      <c r="CT288" s="777"/>
      <c r="CV288" s="777"/>
      <c r="CX288" s="777"/>
      <c r="CZ288" s="777"/>
      <c r="DB288" s="777"/>
      <c r="DD288" s="777"/>
      <c r="DF288" s="777"/>
      <c r="DH288" s="777"/>
      <c r="DJ288" s="777"/>
      <c r="DL288" s="777"/>
      <c r="DN288" s="777"/>
      <c r="DP288" s="777"/>
      <c r="DR288" s="777"/>
      <c r="DT288" s="777"/>
      <c r="DV288" s="777"/>
      <c r="DX288" s="777"/>
      <c r="DZ288" s="777"/>
      <c r="EB288" s="777"/>
      <c r="ED288" s="777"/>
      <c r="EF288" s="777"/>
      <c r="EH288" s="777"/>
      <c r="EJ288" s="777"/>
      <c r="EL288" s="777"/>
      <c r="EN288" s="777"/>
      <c r="EP288" s="777"/>
      <c r="ER288" s="777"/>
      <c r="ET288" s="777"/>
      <c r="EV288" s="777"/>
      <c r="EX288" s="777"/>
      <c r="EZ288" s="777"/>
      <c r="FB288" s="777"/>
      <c r="FD288" s="777"/>
      <c r="FF288" s="777"/>
      <c r="FH288" s="777"/>
      <c r="FJ288" s="777"/>
      <c r="FL288" s="777"/>
      <c r="FN288" s="777"/>
      <c r="FP288" s="777"/>
      <c r="FR288" s="777"/>
      <c r="FT288" s="777"/>
      <c r="FV288" s="777"/>
      <c r="FX288" s="777"/>
      <c r="FZ288" s="777"/>
      <c r="GB288" s="777"/>
      <c r="GD288" s="777"/>
      <c r="GF288" s="777"/>
      <c r="GH288" s="777"/>
      <c r="GK288" s="761"/>
    </row>
    <row r="289" spans="2:195">
      <c r="B289" s="849"/>
      <c r="D289" s="849" t="s">
        <v>1425</v>
      </c>
      <c r="E289" s="848"/>
      <c r="J289" s="770">
        <v>32</v>
      </c>
      <c r="K289" s="777">
        <f>SUM(K270:K288)</f>
        <v>0</v>
      </c>
      <c r="M289" s="777">
        <f>SUM(M270:M288)</f>
        <v>0</v>
      </c>
      <c r="O289" s="777">
        <f>SUM(O270:O288)</f>
        <v>0</v>
      </c>
      <c r="Q289" s="777">
        <f>SUM(Q270:Q288)</f>
        <v>2441060</v>
      </c>
      <c r="S289" s="777">
        <f>SUM(S270:S288)</f>
        <v>0</v>
      </c>
      <c r="U289" s="777">
        <f>SUM(U270:U288)</f>
        <v>2441060</v>
      </c>
      <c r="W289" s="777">
        <f>SUM(W270:W288)</f>
        <v>0</v>
      </c>
      <c r="Y289" s="777">
        <f>SUM(Y270:Y288)</f>
        <v>0</v>
      </c>
      <c r="AA289" s="777">
        <f>SUM(AA270:AA288)</f>
        <v>0</v>
      </c>
      <c r="AC289" s="777">
        <f>SUM(AC270:AC288)</f>
        <v>0</v>
      </c>
      <c r="AE289" s="777">
        <f>SUM(AE270:AE288)</f>
        <v>0</v>
      </c>
      <c r="AG289" s="777">
        <f>SUM(AG270:AG288)</f>
        <v>0</v>
      </c>
      <c r="AI289" s="777">
        <f>SUM(AI270:AI288)</f>
        <v>25265847</v>
      </c>
      <c r="AK289" s="974">
        <f>SUM(AK270:AK279)</f>
        <v>0</v>
      </c>
      <c r="AM289" s="777">
        <f>SUM(AM270:AM288)</f>
        <v>0</v>
      </c>
      <c r="AO289" s="777">
        <f>SUM(AO270:AO288)</f>
        <v>25265847</v>
      </c>
      <c r="AQ289" s="777">
        <f>SUM(AQ270:AQ288)</f>
        <v>0</v>
      </c>
      <c r="AS289" s="777">
        <f>SUM(AS270:AS288)</f>
        <v>0</v>
      </c>
      <c r="AU289" s="777">
        <f>SUM(AU270:AU288)</f>
        <v>0</v>
      </c>
      <c r="AW289" s="777">
        <f>SUM(AW270:AW288)</f>
        <v>0</v>
      </c>
      <c r="AY289" s="777">
        <f>SUM(AY270:AY288)</f>
        <v>0</v>
      </c>
      <c r="BA289" s="777">
        <f>SUM(BA270:BA288)</f>
        <v>0</v>
      </c>
      <c r="BC289" s="777">
        <f>SUM(BC270:BC288)</f>
        <v>1590266</v>
      </c>
      <c r="BE289" s="777">
        <f>SUM(BE270:BE288)</f>
        <v>0</v>
      </c>
      <c r="BG289" s="777">
        <f>SUM(BG270:BG288)</f>
        <v>1590266</v>
      </c>
      <c r="BI289" s="777">
        <f>SUM(BI270:BI288)</f>
        <v>0</v>
      </c>
      <c r="BK289" s="777">
        <f>SUM(BK270:BK288)</f>
        <v>0</v>
      </c>
      <c r="BM289" s="777">
        <f>SUM(BM270:BM288)</f>
        <v>0</v>
      </c>
      <c r="BO289" s="777">
        <f>SUM(BO270:BO288)</f>
        <v>163360</v>
      </c>
      <c r="BQ289" s="974">
        <f>SUM(BQ270:BQ279)</f>
        <v>0</v>
      </c>
      <c r="BS289" s="777">
        <f>SUM(BS270:BS288)</f>
        <v>0</v>
      </c>
      <c r="BU289" s="777">
        <f>SUM(BU270:BU288)</f>
        <v>163360</v>
      </c>
      <c r="BW289" s="777">
        <f>SUM(BW270:BW288)</f>
        <v>859242</v>
      </c>
      <c r="BZ289" s="974">
        <f>SUM(BZ270:BZ279)</f>
        <v>0</v>
      </c>
      <c r="CB289" s="777">
        <f>SUM(CB270:CB279)</f>
        <v>0</v>
      </c>
      <c r="CD289" s="974">
        <f>SUM(CD270:CD279)</f>
        <v>0</v>
      </c>
      <c r="CF289" s="777">
        <f>SUM(CF270:CF288)</f>
        <v>0</v>
      </c>
      <c r="CH289" s="777">
        <f>SUM(CH270:CH288)</f>
        <v>859242</v>
      </c>
      <c r="CJ289" s="777">
        <f>SUM(CJ270:CJ288)</f>
        <v>0</v>
      </c>
      <c r="CL289" s="777">
        <f>SUM(CL270:CL288)</f>
        <v>0</v>
      </c>
      <c r="CN289" s="777">
        <f>SUM(CN270:CN288)</f>
        <v>0</v>
      </c>
      <c r="CP289" s="777">
        <f>SUM(CP270:CP288)</f>
        <v>714006</v>
      </c>
      <c r="CR289" s="777">
        <f>SUM(CR270:CR288)</f>
        <v>0</v>
      </c>
      <c r="CT289" s="777">
        <f>SUM(CT270:CT288)</f>
        <v>714006</v>
      </c>
      <c r="CV289" s="975">
        <f>SUM(CV270:CV288)</f>
        <v>0</v>
      </c>
      <c r="CW289" s="968"/>
      <c r="CX289" s="975">
        <f>SUM(CX270:CX288)</f>
        <v>0</v>
      </c>
      <c r="CY289" s="968"/>
      <c r="CZ289" s="975">
        <f>SUM(CZ270:CZ288)</f>
        <v>0</v>
      </c>
      <c r="DB289" s="777">
        <f>SUM(DB270:DB288)</f>
        <v>2550888000</v>
      </c>
      <c r="DD289" s="777">
        <f>SUM(DD270:DD288)</f>
        <v>0</v>
      </c>
      <c r="DF289" s="777">
        <f>SUM(DF270:DF288)</f>
        <v>2550888000</v>
      </c>
      <c r="DH289" s="975">
        <f>SUM(DH270:DH288)</f>
        <v>0</v>
      </c>
      <c r="DI289" s="968"/>
      <c r="DJ289" s="975">
        <f>SUM(DJ270:DJ288)</f>
        <v>0</v>
      </c>
      <c r="DK289" s="968"/>
      <c r="DL289" s="975">
        <f>SUM(DL270:DL288)</f>
        <v>0</v>
      </c>
      <c r="DN289" s="975">
        <f>SUM(DN270:DN288)</f>
        <v>0</v>
      </c>
      <c r="DO289" s="968"/>
      <c r="DP289" s="975">
        <f>SUM(DP270:DP288)</f>
        <v>0</v>
      </c>
      <c r="DQ289" s="968"/>
      <c r="DR289" s="975">
        <f>SUM(DR270:DR288)</f>
        <v>0</v>
      </c>
      <c r="DT289" s="777">
        <f>SUM(DT270:DT288)</f>
        <v>760418</v>
      </c>
      <c r="DV289" s="975">
        <f>SUM(DV270:DV279)</f>
        <v>0</v>
      </c>
      <c r="DX289" s="777">
        <f>SUM(DX270:DX288)</f>
        <v>0</v>
      </c>
      <c r="DZ289" s="777">
        <f>SUM(DZ270:DZ288)</f>
        <v>760418</v>
      </c>
      <c r="EB289" s="777">
        <f>SUM(EB270:EB288)</f>
        <v>192855370</v>
      </c>
      <c r="ED289" s="976">
        <f>SUM(ED270:ED279)</f>
        <v>0</v>
      </c>
      <c r="EF289" s="777">
        <f>SUM(EF270:EF288)</f>
        <v>0</v>
      </c>
      <c r="EH289" s="777">
        <f>SUM(EH270:EH288)</f>
        <v>192855370</v>
      </c>
      <c r="EJ289" s="777">
        <f>SUM(EJ270:EJ288)</f>
        <v>1805671</v>
      </c>
      <c r="EL289" s="777">
        <f>SUM(EL270:EL288)</f>
        <v>0</v>
      </c>
      <c r="EN289" s="777">
        <f>SUM(EN270:EN288)</f>
        <v>1805671</v>
      </c>
      <c r="EP289" s="777">
        <f>SUM(EP270:EP288)</f>
        <v>101701469</v>
      </c>
      <c r="ER289" s="777">
        <f>SUM(ER270:ER288)</f>
        <v>0</v>
      </c>
      <c r="ET289" s="777">
        <f>SUM(ET270:ET288)</f>
        <v>101701469</v>
      </c>
      <c r="EV289" s="777">
        <f>SUM(EV270:EV288)</f>
        <v>6280297065</v>
      </c>
      <c r="EX289" s="777">
        <f>SUM(EX270:EX288)</f>
        <v>0</v>
      </c>
      <c r="EZ289" s="777">
        <f>SUM(EZ270:EZ288)</f>
        <v>6280297065</v>
      </c>
      <c r="FB289" s="777">
        <f>SUM(FB270:FB279)</f>
        <v>0</v>
      </c>
      <c r="FD289" s="777">
        <f>SUM(FD270:FD279)</f>
        <v>0</v>
      </c>
      <c r="FF289" s="777">
        <f>SUM(FF270:FF288)</f>
        <v>0</v>
      </c>
      <c r="FH289" s="777">
        <f>SUM(FH270:FH288)</f>
        <v>0</v>
      </c>
      <c r="FJ289" s="777">
        <f>SUM(FJ270:FJ288)</f>
        <v>0</v>
      </c>
      <c r="FL289" s="777">
        <f>SUM(FL270:FL288)</f>
        <v>1022884</v>
      </c>
      <c r="FN289" s="777">
        <f>SUM(FN270:FN288)</f>
        <v>0</v>
      </c>
      <c r="FP289" s="777">
        <f>SUM(FP270:FP288)</f>
        <v>1022884</v>
      </c>
      <c r="FR289" s="777">
        <f>SUM(FR270:FR288)</f>
        <v>63510368</v>
      </c>
      <c r="FT289" s="777">
        <f>SUM(FT270:FT288)</f>
        <v>0</v>
      </c>
      <c r="FV289" s="777">
        <f>SUM(FV270:FV288)</f>
        <v>63510368</v>
      </c>
      <c r="FX289" s="975">
        <f>SUM(FX270:FX288)</f>
        <v>0</v>
      </c>
      <c r="FY289" s="968"/>
      <c r="FZ289" s="975">
        <f>SUM(FZ270:FZ288)</f>
        <v>0</v>
      </c>
      <c r="GA289" s="968"/>
      <c r="GB289" s="975">
        <f>SUM(GB270:GB288)</f>
        <v>0</v>
      </c>
      <c r="GC289" s="968"/>
      <c r="GD289" s="975">
        <v>0</v>
      </c>
      <c r="GE289" s="968"/>
      <c r="GF289" s="975">
        <v>0</v>
      </c>
      <c r="GG289" s="968"/>
      <c r="GH289" s="975">
        <v>0</v>
      </c>
      <c r="GK289" s="761">
        <f>O289+U289+AA289+AG289+AO289+AU289+BA289+BG289+BM289+BU289+CH289+CN289+CT289+DF289+DZ289+EH289+EN289+ET289+EZ289+FJ289+FP289+FV289</f>
        <v>9223875026</v>
      </c>
      <c r="GM289" s="761"/>
    </row>
    <row r="290" spans="2:195">
      <c r="D290" s="1000"/>
      <c r="E290" s="848"/>
      <c r="J290" s="758">
        <v>33</v>
      </c>
      <c r="BQ290" s="952"/>
      <c r="BW290" s="761"/>
      <c r="BZ290" s="952"/>
      <c r="CB290" s="761"/>
      <c r="CD290" s="952"/>
      <c r="CP290" s="761"/>
      <c r="CV290" s="977"/>
      <c r="CW290" s="968"/>
      <c r="CX290" s="977"/>
      <c r="CY290" s="968"/>
      <c r="CZ290" s="977"/>
      <c r="DB290" s="761"/>
      <c r="DH290" s="977"/>
      <c r="DI290" s="968"/>
      <c r="DJ290" s="977"/>
      <c r="DK290" s="968"/>
      <c r="DL290" s="977"/>
      <c r="DN290" s="977"/>
      <c r="DO290" s="968"/>
      <c r="DP290" s="977"/>
      <c r="DQ290" s="968"/>
      <c r="DR290" s="977"/>
      <c r="DT290" s="761"/>
      <c r="DV290" s="977"/>
      <c r="EB290" s="761"/>
      <c r="ED290" s="978"/>
      <c r="EJ290" s="761"/>
      <c r="EP290" s="761"/>
      <c r="EV290" s="761"/>
      <c r="FB290" s="761"/>
      <c r="FD290" s="761"/>
      <c r="FX290" s="977"/>
      <c r="FY290" s="968"/>
      <c r="FZ290" s="977"/>
      <c r="GA290" s="968"/>
      <c r="GB290" s="977"/>
      <c r="GC290" s="968"/>
      <c r="GD290" s="977"/>
      <c r="GE290" s="968"/>
      <c r="GF290" s="977"/>
      <c r="GG290" s="968"/>
      <c r="GH290" s="977"/>
    </row>
    <row r="291" spans="2:195">
      <c r="B291" s="847"/>
      <c r="D291" s="847" t="s">
        <v>676</v>
      </c>
      <c r="E291" s="847"/>
      <c r="J291" s="770">
        <v>34</v>
      </c>
      <c r="BQ291" s="952"/>
      <c r="BW291" s="761"/>
      <c r="BZ291" s="952"/>
      <c r="CB291" s="761"/>
      <c r="CD291" s="952"/>
      <c r="CP291" s="761"/>
      <c r="CV291" s="977"/>
      <c r="CW291" s="968"/>
      <c r="CX291" s="977"/>
      <c r="CY291" s="968"/>
      <c r="CZ291" s="977"/>
      <c r="DB291" s="761"/>
      <c r="DH291" s="977"/>
      <c r="DI291" s="968"/>
      <c r="DJ291" s="977"/>
      <c r="DK291" s="968"/>
      <c r="DL291" s="977"/>
      <c r="DN291" s="977"/>
      <c r="DO291" s="968"/>
      <c r="DP291" s="977"/>
      <c r="DQ291" s="968"/>
      <c r="DR291" s="977"/>
      <c r="DT291" s="761"/>
      <c r="DV291" s="977"/>
      <c r="EB291" s="761"/>
      <c r="ED291" s="978"/>
      <c r="EJ291" s="761"/>
      <c r="EP291" s="761"/>
      <c r="EV291" s="761"/>
      <c r="FB291" s="761"/>
      <c r="FD291" s="761"/>
      <c r="FX291" s="977"/>
      <c r="FY291" s="968"/>
      <c r="FZ291" s="977"/>
      <c r="GA291" s="968"/>
      <c r="GB291" s="977"/>
      <c r="GC291" s="968"/>
      <c r="GD291" s="977"/>
      <c r="GE291" s="968"/>
      <c r="GF291" s="977"/>
      <c r="GG291" s="968"/>
      <c r="GH291" s="977"/>
    </row>
    <row r="292" spans="2:195">
      <c r="B292" s="849"/>
      <c r="D292" s="849" t="s">
        <v>635</v>
      </c>
      <c r="E292" s="849"/>
      <c r="J292" s="758">
        <v>35</v>
      </c>
      <c r="K292" s="775"/>
      <c r="M292" s="775">
        <v>0</v>
      </c>
      <c r="O292" s="775">
        <f t="shared" ref="O292:O301" si="962">K292+M292</f>
        <v>0</v>
      </c>
      <c r="Q292" s="775">
        <v>187639</v>
      </c>
      <c r="S292" s="775">
        <v>0</v>
      </c>
      <c r="U292" s="775">
        <f t="shared" ref="U292:U296" si="963">Q292+S292</f>
        <v>187639</v>
      </c>
      <c r="W292" s="775"/>
      <c r="Y292" s="775">
        <v>0</v>
      </c>
      <c r="AA292" s="775">
        <f t="shared" ref="AA292:AA296" si="964">W292+Y292</f>
        <v>0</v>
      </c>
      <c r="AC292" s="775"/>
      <c r="AE292" s="775">
        <v>0</v>
      </c>
      <c r="AG292" s="775">
        <f t="shared" ref="AG292:AG296" si="965">AC292+AE292</f>
        <v>0</v>
      </c>
      <c r="AI292" s="775">
        <v>439506</v>
      </c>
      <c r="AK292" s="970">
        <v>0</v>
      </c>
      <c r="AM292" s="775">
        <v>0</v>
      </c>
      <c r="AO292" s="775">
        <f t="shared" ref="AO292:AO301" si="966">AI292+AM292</f>
        <v>439506</v>
      </c>
      <c r="AQ292" s="775"/>
      <c r="AS292" s="775">
        <v>0</v>
      </c>
      <c r="AU292" s="775">
        <f t="shared" ref="AU292:AU301" si="967">AQ292+AS292</f>
        <v>0</v>
      </c>
      <c r="AW292" s="775"/>
      <c r="AY292" s="775">
        <v>0</v>
      </c>
      <c r="BA292" s="775">
        <f t="shared" ref="BA292:BA296" si="968">AW292+AY292</f>
        <v>0</v>
      </c>
      <c r="BC292" s="775">
        <v>365255</v>
      </c>
      <c r="BE292" s="775">
        <v>0</v>
      </c>
      <c r="BG292" s="775">
        <f t="shared" ref="BG292:BG296" si="969">BC292+BE292</f>
        <v>365255</v>
      </c>
      <c r="BI292" s="775"/>
      <c r="BK292" s="775">
        <v>0</v>
      </c>
      <c r="BM292" s="775">
        <f t="shared" ref="BM292:BM296" si="970">BI292+BK292</f>
        <v>0</v>
      </c>
      <c r="BO292" s="775"/>
      <c r="BQ292" s="970"/>
      <c r="BS292" s="775">
        <v>0</v>
      </c>
      <c r="BU292" s="775">
        <f t="shared" ref="BU292:BU301" si="971">BO292+BS292</f>
        <v>0</v>
      </c>
      <c r="BW292" s="775"/>
      <c r="BZ292" s="970"/>
      <c r="CB292" s="775"/>
      <c r="CD292" s="970"/>
      <c r="CF292" s="775">
        <v>0</v>
      </c>
      <c r="CH292" s="775">
        <f t="shared" ref="CH292:CH301" si="972">BW292+CF292</f>
        <v>0</v>
      </c>
      <c r="CJ292" s="775"/>
      <c r="CL292" s="775">
        <v>0</v>
      </c>
      <c r="CN292" s="775">
        <f t="shared" ref="CN292:CN301" si="973">CJ292+CL292</f>
        <v>0</v>
      </c>
      <c r="CP292" s="775"/>
      <c r="CR292" s="775">
        <v>0</v>
      </c>
      <c r="CT292" s="775">
        <f t="shared" ref="CT292:CT296" si="974">CP292+CR292</f>
        <v>0</v>
      </c>
      <c r="CV292" s="971"/>
      <c r="CW292" s="968"/>
      <c r="CX292" s="971">
        <v>0</v>
      </c>
      <c r="CY292" s="968"/>
      <c r="CZ292" s="971">
        <f t="shared" ref="CZ292:CZ296" si="975">CV292+CX292</f>
        <v>0</v>
      </c>
      <c r="DB292" s="775">
        <v>25737000</v>
      </c>
      <c r="DD292" s="775">
        <v>0</v>
      </c>
      <c r="DF292" s="775">
        <f t="shared" ref="DF292:DF296" si="976">DB292+DD292</f>
        <v>25737000</v>
      </c>
      <c r="DH292" s="971"/>
      <c r="DI292" s="968"/>
      <c r="DJ292" s="971">
        <v>0</v>
      </c>
      <c r="DK292" s="968"/>
      <c r="DL292" s="971">
        <f t="shared" ref="DL292:DL296" si="977">DH292+DJ292</f>
        <v>0</v>
      </c>
      <c r="DN292" s="971"/>
      <c r="DO292" s="968"/>
      <c r="DP292" s="971">
        <v>0</v>
      </c>
      <c r="DQ292" s="968"/>
      <c r="DR292" s="971">
        <f t="shared" ref="DR292:DR296" si="978">DN292+DP292</f>
        <v>0</v>
      </c>
      <c r="DT292" s="776"/>
      <c r="DV292" s="971">
        <v>0</v>
      </c>
      <c r="DX292" s="775">
        <v>0</v>
      </c>
      <c r="DZ292" s="775">
        <f t="shared" ref="DZ292:DZ301" si="979">DT292+DX292</f>
        <v>0</v>
      </c>
      <c r="EB292" s="775">
        <v>3165002</v>
      </c>
      <c r="ED292" s="972"/>
      <c r="EF292" s="775">
        <v>0</v>
      </c>
      <c r="EH292" s="775">
        <f t="shared" ref="EH292:EH296" si="980">EB292+EF292</f>
        <v>3165002</v>
      </c>
      <c r="EJ292" s="775"/>
      <c r="EL292" s="775">
        <v>0</v>
      </c>
      <c r="EN292" s="775">
        <f t="shared" ref="EN292:EN301" si="981">EJ292+EL292</f>
        <v>0</v>
      </c>
      <c r="EP292" s="775">
        <v>28097856</v>
      </c>
      <c r="ER292" s="775">
        <v>0</v>
      </c>
      <c r="ET292" s="775">
        <f t="shared" ref="ET292:ET296" si="982">EP292+ER292</f>
        <v>28097856</v>
      </c>
      <c r="EV292" s="775">
        <v>84723676</v>
      </c>
      <c r="EX292" s="775">
        <v>0</v>
      </c>
      <c r="EZ292" s="775">
        <f t="shared" ref="EZ292:EZ296" si="983">EV292+EX292</f>
        <v>84723676</v>
      </c>
      <c r="FB292" s="775"/>
      <c r="FD292" s="775"/>
      <c r="FF292" s="775"/>
      <c r="FH292" s="775">
        <v>0</v>
      </c>
      <c r="FJ292" s="775">
        <f t="shared" ref="FJ292:FJ296" si="984">FF292+FH292</f>
        <v>0</v>
      </c>
      <c r="FL292" s="775"/>
      <c r="FN292" s="775">
        <v>0</v>
      </c>
      <c r="FP292" s="775">
        <f t="shared" ref="FP292:FP296" si="985">FL292+FN292</f>
        <v>0</v>
      </c>
      <c r="FR292" s="775"/>
      <c r="FT292" s="775">
        <v>0</v>
      </c>
      <c r="FV292" s="775">
        <f t="shared" ref="FV292:FV296" si="986">FR292+FT292</f>
        <v>0</v>
      </c>
      <c r="FX292" s="971"/>
      <c r="FY292" s="968"/>
      <c r="FZ292" s="971">
        <v>0</v>
      </c>
      <c r="GA292" s="968"/>
      <c r="GB292" s="971">
        <f t="shared" ref="GB292:GB301" si="987">FX292+FZ292</f>
        <v>0</v>
      </c>
      <c r="GC292" s="968"/>
      <c r="GD292" s="971"/>
      <c r="GE292" s="968"/>
      <c r="GF292" s="971">
        <v>0</v>
      </c>
      <c r="GG292" s="968"/>
      <c r="GH292" s="971">
        <v>0</v>
      </c>
      <c r="GK292" s="761">
        <f>O292+U292+AA292+AG292+AO292+AU292+BA292+BG292+BM292+BU292+CH292+CN292+CT292+DF292+DZ292+EH292+EN292+ET292+EZ292+FJ292+FP292+FV292</f>
        <v>142715934</v>
      </c>
      <c r="GM292" s="761"/>
    </row>
    <row r="293" spans="2:195">
      <c r="B293" s="849"/>
      <c r="D293" s="849" t="s">
        <v>636</v>
      </c>
      <c r="E293" s="849"/>
      <c r="J293" s="758">
        <v>36</v>
      </c>
      <c r="K293" s="775"/>
      <c r="M293" s="775">
        <v>0</v>
      </c>
      <c r="O293" s="775">
        <f t="shared" si="962"/>
        <v>0</v>
      </c>
      <c r="Q293" s="775"/>
      <c r="S293" s="775">
        <v>0</v>
      </c>
      <c r="U293" s="775">
        <f t="shared" si="963"/>
        <v>0</v>
      </c>
      <c r="W293" s="775"/>
      <c r="Y293" s="775">
        <v>0</v>
      </c>
      <c r="AA293" s="775">
        <f t="shared" si="964"/>
        <v>0</v>
      </c>
      <c r="AC293" s="775"/>
      <c r="AE293" s="775">
        <v>0</v>
      </c>
      <c r="AG293" s="775">
        <f t="shared" si="965"/>
        <v>0</v>
      </c>
      <c r="AI293" s="776"/>
      <c r="AK293" s="970">
        <v>0</v>
      </c>
      <c r="AM293" s="775">
        <v>0</v>
      </c>
      <c r="AO293" s="775">
        <f t="shared" si="966"/>
        <v>0</v>
      </c>
      <c r="AQ293" s="775"/>
      <c r="AS293" s="775">
        <v>0</v>
      </c>
      <c r="AU293" s="775">
        <f t="shared" si="967"/>
        <v>0</v>
      </c>
      <c r="AW293" s="775"/>
      <c r="AY293" s="775">
        <v>0</v>
      </c>
      <c r="BA293" s="775">
        <f t="shared" si="968"/>
        <v>0</v>
      </c>
      <c r="BC293" s="775"/>
      <c r="BE293" s="775">
        <v>0</v>
      </c>
      <c r="BG293" s="775">
        <f t="shared" si="969"/>
        <v>0</v>
      </c>
      <c r="BI293" s="775"/>
      <c r="BK293" s="775">
        <v>0</v>
      </c>
      <c r="BM293" s="775">
        <f t="shared" si="970"/>
        <v>0</v>
      </c>
      <c r="BO293" s="775"/>
      <c r="BQ293" s="970"/>
      <c r="BS293" s="775">
        <v>0</v>
      </c>
      <c r="BU293" s="775">
        <f t="shared" si="971"/>
        <v>0</v>
      </c>
      <c r="BW293" s="776"/>
      <c r="BZ293" s="970"/>
      <c r="CB293" s="775"/>
      <c r="CD293" s="970"/>
      <c r="CF293" s="775">
        <v>0</v>
      </c>
      <c r="CH293" s="775">
        <f t="shared" si="972"/>
        <v>0</v>
      </c>
      <c r="CJ293" s="775"/>
      <c r="CL293" s="775">
        <v>0</v>
      </c>
      <c r="CN293" s="775">
        <f t="shared" si="973"/>
        <v>0</v>
      </c>
      <c r="CP293" s="775"/>
      <c r="CR293" s="775">
        <v>0</v>
      </c>
      <c r="CT293" s="775">
        <f t="shared" si="974"/>
        <v>0</v>
      </c>
      <c r="CV293" s="971"/>
      <c r="CW293" s="968"/>
      <c r="CX293" s="971">
        <v>0</v>
      </c>
      <c r="CY293" s="968"/>
      <c r="CZ293" s="971">
        <f t="shared" si="975"/>
        <v>0</v>
      </c>
      <c r="DB293" s="775">
        <v>1072994000</v>
      </c>
      <c r="DD293" s="775">
        <v>0</v>
      </c>
      <c r="DF293" s="775">
        <f t="shared" si="976"/>
        <v>1072994000</v>
      </c>
      <c r="DH293" s="971"/>
      <c r="DI293" s="968"/>
      <c r="DJ293" s="971">
        <v>0</v>
      </c>
      <c r="DK293" s="968"/>
      <c r="DL293" s="971">
        <f t="shared" si="977"/>
        <v>0</v>
      </c>
      <c r="DN293" s="971"/>
      <c r="DO293" s="968"/>
      <c r="DP293" s="971">
        <v>0</v>
      </c>
      <c r="DQ293" s="968"/>
      <c r="DR293" s="971">
        <f t="shared" si="978"/>
        <v>0</v>
      </c>
      <c r="DT293" s="776"/>
      <c r="DV293" s="971">
        <v>0</v>
      </c>
      <c r="DX293" s="775">
        <v>0</v>
      </c>
      <c r="DZ293" s="775">
        <f t="shared" si="979"/>
        <v>0</v>
      </c>
      <c r="EB293" s="775">
        <v>53174301</v>
      </c>
      <c r="ED293" s="972"/>
      <c r="EF293" s="775">
        <v>0</v>
      </c>
      <c r="EH293" s="775">
        <f t="shared" si="980"/>
        <v>53174301</v>
      </c>
      <c r="EJ293" s="775"/>
      <c r="EL293" s="775">
        <v>0</v>
      </c>
      <c r="EN293" s="775">
        <f t="shared" si="981"/>
        <v>0</v>
      </c>
      <c r="EP293" s="775"/>
      <c r="ER293" s="775">
        <v>0</v>
      </c>
      <c r="ET293" s="775">
        <f t="shared" si="982"/>
        <v>0</v>
      </c>
      <c r="EV293" s="775">
        <v>477736079</v>
      </c>
      <c r="EX293" s="775">
        <v>0</v>
      </c>
      <c r="EZ293" s="775">
        <f t="shared" si="983"/>
        <v>477736079</v>
      </c>
      <c r="FB293" s="775"/>
      <c r="FD293" s="775"/>
      <c r="FF293" s="775"/>
      <c r="FH293" s="775">
        <v>0</v>
      </c>
      <c r="FJ293" s="775">
        <f t="shared" si="984"/>
        <v>0</v>
      </c>
      <c r="FL293" s="775"/>
      <c r="FN293" s="775">
        <v>0</v>
      </c>
      <c r="FP293" s="775">
        <f t="shared" si="985"/>
        <v>0</v>
      </c>
      <c r="FR293" s="775">
        <v>4612503</v>
      </c>
      <c r="FT293" s="775">
        <v>0</v>
      </c>
      <c r="FV293" s="775">
        <f t="shared" si="986"/>
        <v>4612503</v>
      </c>
      <c r="FX293" s="971"/>
      <c r="FY293" s="968"/>
      <c r="FZ293" s="971">
        <v>0</v>
      </c>
      <c r="GA293" s="968"/>
      <c r="GB293" s="971">
        <f t="shared" si="987"/>
        <v>0</v>
      </c>
      <c r="GC293" s="968"/>
      <c r="GD293" s="971"/>
      <c r="GE293" s="968"/>
      <c r="GF293" s="971">
        <v>0</v>
      </c>
      <c r="GG293" s="968"/>
      <c r="GH293" s="971">
        <v>0</v>
      </c>
      <c r="GK293" s="761">
        <f>O293+U293+AA293+AG293+AO293+AU293+BA293+BG293+BM293+BU293+CH293+CN293+CT293+DF293+DZ293+EH293+EN293+ET293+EZ293+FJ293+FP293+FV293</f>
        <v>1608516883</v>
      </c>
      <c r="GM293" s="761"/>
    </row>
    <row r="294" spans="2:195">
      <c r="B294" s="849"/>
      <c r="D294" s="849" t="s">
        <v>637</v>
      </c>
      <c r="E294" s="849"/>
      <c r="J294" s="770">
        <v>37</v>
      </c>
      <c r="K294" s="775"/>
      <c r="M294" s="775">
        <v>0</v>
      </c>
      <c r="O294" s="775">
        <f t="shared" si="962"/>
        <v>0</v>
      </c>
      <c r="Q294" s="775">
        <v>223333</v>
      </c>
      <c r="S294" s="775">
        <v>0</v>
      </c>
      <c r="U294" s="775">
        <f t="shared" si="963"/>
        <v>223333</v>
      </c>
      <c r="W294" s="775"/>
      <c r="Y294" s="775">
        <v>0</v>
      </c>
      <c r="AA294" s="775">
        <f t="shared" si="964"/>
        <v>0</v>
      </c>
      <c r="AC294" s="775"/>
      <c r="AE294" s="775">
        <v>0</v>
      </c>
      <c r="AG294" s="775">
        <f t="shared" si="965"/>
        <v>0</v>
      </c>
      <c r="AI294" s="775">
        <v>2374486</v>
      </c>
      <c r="AK294" s="970">
        <v>0</v>
      </c>
      <c r="AM294" s="775">
        <v>0</v>
      </c>
      <c r="AO294" s="775">
        <f t="shared" si="966"/>
        <v>2374486</v>
      </c>
      <c r="AQ294" s="775"/>
      <c r="AS294" s="775">
        <v>0</v>
      </c>
      <c r="AU294" s="775">
        <f t="shared" si="967"/>
        <v>0</v>
      </c>
      <c r="AW294" s="775"/>
      <c r="AY294" s="775">
        <v>0</v>
      </c>
      <c r="BA294" s="775">
        <f t="shared" si="968"/>
        <v>0</v>
      </c>
      <c r="BC294" s="775">
        <v>750473</v>
      </c>
      <c r="BE294" s="775">
        <v>0</v>
      </c>
      <c r="BG294" s="775">
        <f t="shared" si="969"/>
        <v>750473</v>
      </c>
      <c r="BI294" s="775"/>
      <c r="BK294" s="775">
        <v>0</v>
      </c>
      <c r="BM294" s="775">
        <f t="shared" si="970"/>
        <v>0</v>
      </c>
      <c r="BO294" s="775"/>
      <c r="BQ294" s="970"/>
      <c r="BS294" s="775">
        <v>0</v>
      </c>
      <c r="BU294" s="775">
        <f t="shared" si="971"/>
        <v>0</v>
      </c>
      <c r="BW294" s="775">
        <v>243305</v>
      </c>
      <c r="BZ294" s="970"/>
      <c r="CB294" s="775"/>
      <c r="CD294" s="970"/>
      <c r="CF294" s="775">
        <v>0</v>
      </c>
      <c r="CH294" s="775">
        <f t="shared" si="972"/>
        <v>243305</v>
      </c>
      <c r="CJ294" s="775"/>
      <c r="CL294" s="775">
        <v>0</v>
      </c>
      <c r="CN294" s="775">
        <f t="shared" si="973"/>
        <v>0</v>
      </c>
      <c r="CP294" s="775">
        <v>20052</v>
      </c>
      <c r="CR294" s="775">
        <v>0</v>
      </c>
      <c r="CT294" s="775">
        <f t="shared" si="974"/>
        <v>20052</v>
      </c>
      <c r="CV294" s="971"/>
      <c r="CW294" s="968"/>
      <c r="CX294" s="971">
        <v>0</v>
      </c>
      <c r="CY294" s="968"/>
      <c r="CZ294" s="971">
        <f t="shared" si="975"/>
        <v>0</v>
      </c>
      <c r="DB294" s="775">
        <v>104168000</v>
      </c>
      <c r="DD294" s="775">
        <v>0</v>
      </c>
      <c r="DF294" s="775">
        <f t="shared" si="976"/>
        <v>104168000</v>
      </c>
      <c r="DH294" s="971"/>
      <c r="DI294" s="968"/>
      <c r="DJ294" s="971">
        <v>0</v>
      </c>
      <c r="DK294" s="968"/>
      <c r="DL294" s="971">
        <f t="shared" si="977"/>
        <v>0</v>
      </c>
      <c r="DN294" s="971"/>
      <c r="DO294" s="968"/>
      <c r="DP294" s="971">
        <v>0</v>
      </c>
      <c r="DQ294" s="968"/>
      <c r="DR294" s="971">
        <f t="shared" si="978"/>
        <v>0</v>
      </c>
      <c r="DT294" s="776">
        <v>375614</v>
      </c>
      <c r="DV294" s="971">
        <v>0</v>
      </c>
      <c r="DX294" s="775">
        <v>0</v>
      </c>
      <c r="DZ294" s="775">
        <f t="shared" si="979"/>
        <v>375614</v>
      </c>
      <c r="EB294" s="775">
        <v>2596099</v>
      </c>
      <c r="ED294" s="972"/>
      <c r="EF294" s="775">
        <v>0</v>
      </c>
      <c r="EH294" s="775">
        <f t="shared" si="980"/>
        <v>2596099</v>
      </c>
      <c r="EJ294" s="775">
        <v>252634</v>
      </c>
      <c r="EL294" s="775">
        <v>0</v>
      </c>
      <c r="EN294" s="775">
        <f t="shared" si="981"/>
        <v>252634</v>
      </c>
      <c r="EP294" s="775">
        <v>12939447</v>
      </c>
      <c r="ER294" s="775">
        <v>0</v>
      </c>
      <c r="ET294" s="775">
        <f t="shared" si="982"/>
        <v>12939447</v>
      </c>
      <c r="EV294" s="775">
        <v>440661190</v>
      </c>
      <c r="EX294" s="775">
        <v>0</v>
      </c>
      <c r="EZ294" s="775">
        <f t="shared" si="983"/>
        <v>440661190</v>
      </c>
      <c r="FB294" s="775"/>
      <c r="FD294" s="775"/>
      <c r="FF294" s="775"/>
      <c r="FH294" s="775">
        <v>0</v>
      </c>
      <c r="FJ294" s="775">
        <f t="shared" si="984"/>
        <v>0</v>
      </c>
      <c r="FL294" s="775">
        <v>236064</v>
      </c>
      <c r="FN294" s="775">
        <v>0</v>
      </c>
      <c r="FP294" s="775">
        <f t="shared" si="985"/>
        <v>236064</v>
      </c>
      <c r="FR294" s="775"/>
      <c r="FT294" s="775">
        <v>0</v>
      </c>
      <c r="FV294" s="775">
        <f t="shared" si="986"/>
        <v>0</v>
      </c>
      <c r="FX294" s="971"/>
      <c r="FY294" s="968"/>
      <c r="FZ294" s="971">
        <v>0</v>
      </c>
      <c r="GA294" s="968"/>
      <c r="GB294" s="971">
        <f t="shared" si="987"/>
        <v>0</v>
      </c>
      <c r="GC294" s="968"/>
      <c r="GD294" s="971"/>
      <c r="GE294" s="968"/>
      <c r="GF294" s="971">
        <v>0</v>
      </c>
      <c r="GG294" s="968"/>
      <c r="GH294" s="971">
        <v>0</v>
      </c>
      <c r="GK294" s="761">
        <f>O294+U294+AA294+AG294+AO294+AU294+BA294+BG294+BM294+BU294+CH294+CN294+CT294+DF294+DZ294+EH294+EN294+ET294+EZ294+FJ294+FP294+FV294</f>
        <v>564840697</v>
      </c>
      <c r="GM294" s="761"/>
    </row>
    <row r="295" spans="2:195">
      <c r="B295" s="849"/>
      <c r="D295" s="849" t="s">
        <v>638</v>
      </c>
      <c r="E295" s="849"/>
      <c r="J295" s="758">
        <v>38</v>
      </c>
      <c r="K295" s="775"/>
      <c r="M295" s="775">
        <v>0</v>
      </c>
      <c r="O295" s="775">
        <f t="shared" si="962"/>
        <v>0</v>
      </c>
      <c r="Q295" s="775"/>
      <c r="S295" s="775">
        <v>0</v>
      </c>
      <c r="U295" s="775">
        <f t="shared" si="963"/>
        <v>0</v>
      </c>
      <c r="W295" s="775"/>
      <c r="Y295" s="775">
        <v>0</v>
      </c>
      <c r="AA295" s="775">
        <f t="shared" si="964"/>
        <v>0</v>
      </c>
      <c r="AC295" s="775"/>
      <c r="AE295" s="775">
        <v>0</v>
      </c>
      <c r="AG295" s="775">
        <f t="shared" si="965"/>
        <v>0</v>
      </c>
      <c r="AI295" s="776"/>
      <c r="AK295" s="970">
        <v>0</v>
      </c>
      <c r="AM295" s="775">
        <v>0</v>
      </c>
      <c r="AO295" s="775">
        <f t="shared" si="966"/>
        <v>0</v>
      </c>
      <c r="AQ295" s="775"/>
      <c r="AS295" s="775">
        <v>0</v>
      </c>
      <c r="AU295" s="775">
        <f t="shared" si="967"/>
        <v>0</v>
      </c>
      <c r="AW295" s="775"/>
      <c r="AY295" s="775">
        <v>0</v>
      </c>
      <c r="BA295" s="775">
        <f t="shared" si="968"/>
        <v>0</v>
      </c>
      <c r="BC295" s="775"/>
      <c r="BE295" s="775">
        <v>0</v>
      </c>
      <c r="BG295" s="775">
        <f t="shared" si="969"/>
        <v>0</v>
      </c>
      <c r="BI295" s="775"/>
      <c r="BK295" s="775">
        <v>0</v>
      </c>
      <c r="BM295" s="775">
        <f t="shared" si="970"/>
        <v>0</v>
      </c>
      <c r="BO295" s="775"/>
      <c r="BQ295" s="970"/>
      <c r="BS295" s="775">
        <v>0</v>
      </c>
      <c r="BU295" s="775">
        <f t="shared" si="971"/>
        <v>0</v>
      </c>
      <c r="BW295" s="776"/>
      <c r="BZ295" s="970"/>
      <c r="CB295" s="775"/>
      <c r="CD295" s="970"/>
      <c r="CF295" s="775">
        <v>0</v>
      </c>
      <c r="CH295" s="775">
        <f t="shared" si="972"/>
        <v>0</v>
      </c>
      <c r="CJ295" s="775"/>
      <c r="CL295" s="775">
        <v>0</v>
      </c>
      <c r="CN295" s="775">
        <f t="shared" si="973"/>
        <v>0</v>
      </c>
      <c r="CP295" s="775"/>
      <c r="CR295" s="775">
        <v>0</v>
      </c>
      <c r="CT295" s="775">
        <f t="shared" si="974"/>
        <v>0</v>
      </c>
      <c r="CV295" s="971"/>
      <c r="CW295" s="968"/>
      <c r="CX295" s="971">
        <v>0</v>
      </c>
      <c r="CY295" s="968"/>
      <c r="CZ295" s="971">
        <f t="shared" si="975"/>
        <v>0</v>
      </c>
      <c r="DB295" s="775"/>
      <c r="DD295" s="775">
        <v>0</v>
      </c>
      <c r="DF295" s="775">
        <f t="shared" si="976"/>
        <v>0</v>
      </c>
      <c r="DH295" s="971"/>
      <c r="DI295" s="968"/>
      <c r="DJ295" s="971">
        <v>0</v>
      </c>
      <c r="DK295" s="968"/>
      <c r="DL295" s="971">
        <f t="shared" si="977"/>
        <v>0</v>
      </c>
      <c r="DN295" s="971"/>
      <c r="DO295" s="968"/>
      <c r="DP295" s="971">
        <v>0</v>
      </c>
      <c r="DQ295" s="968"/>
      <c r="DR295" s="971">
        <f t="shared" si="978"/>
        <v>0</v>
      </c>
      <c r="DT295" s="776">
        <v>25529</v>
      </c>
      <c r="DV295" s="971">
        <v>0</v>
      </c>
      <c r="DX295" s="775">
        <v>0</v>
      </c>
      <c r="DZ295" s="775">
        <f t="shared" si="979"/>
        <v>25529</v>
      </c>
      <c r="EB295" s="775">
        <v>175000</v>
      </c>
      <c r="ED295" s="972">
        <v>0</v>
      </c>
      <c r="EF295" s="775">
        <v>0</v>
      </c>
      <c r="EH295" s="775">
        <f t="shared" si="980"/>
        <v>175000</v>
      </c>
      <c r="EJ295" s="775"/>
      <c r="EL295" s="775">
        <v>0</v>
      </c>
      <c r="EN295" s="775">
        <f t="shared" si="981"/>
        <v>0</v>
      </c>
      <c r="EP295" s="775"/>
      <c r="ER295" s="775">
        <v>0</v>
      </c>
      <c r="ET295" s="775">
        <f t="shared" si="982"/>
        <v>0</v>
      </c>
      <c r="EV295" s="775">
        <v>28173675</v>
      </c>
      <c r="EX295" s="775">
        <v>0</v>
      </c>
      <c r="EZ295" s="775">
        <f t="shared" si="983"/>
        <v>28173675</v>
      </c>
      <c r="FB295" s="775"/>
      <c r="FD295" s="775"/>
      <c r="FF295" s="775"/>
      <c r="FH295" s="775">
        <v>0</v>
      </c>
      <c r="FJ295" s="775">
        <f t="shared" si="984"/>
        <v>0</v>
      </c>
      <c r="FL295" s="775"/>
      <c r="FN295" s="775">
        <v>0</v>
      </c>
      <c r="FP295" s="775">
        <f t="shared" si="985"/>
        <v>0</v>
      </c>
      <c r="FR295" s="775"/>
      <c r="FT295" s="775">
        <v>0</v>
      </c>
      <c r="FV295" s="775">
        <f t="shared" si="986"/>
        <v>0</v>
      </c>
      <c r="FX295" s="971"/>
      <c r="FY295" s="968"/>
      <c r="FZ295" s="971">
        <v>0</v>
      </c>
      <c r="GA295" s="968"/>
      <c r="GB295" s="971">
        <f t="shared" si="987"/>
        <v>0</v>
      </c>
      <c r="GC295" s="968"/>
      <c r="GD295" s="971"/>
      <c r="GE295" s="968"/>
      <c r="GF295" s="971">
        <v>0</v>
      </c>
      <c r="GG295" s="968"/>
      <c r="GH295" s="971">
        <v>0</v>
      </c>
      <c r="GK295" s="761">
        <f>O295+U295+AA295+AG295+AO295+AU295+BA295+BG295+BM295+BU295+CH295+CN295+CT295+DF295+DZ295+EH295+EN295+ET295+EZ295+FJ295+FP295+FV295</f>
        <v>28374204</v>
      </c>
      <c r="GM295" s="761"/>
    </row>
    <row r="296" spans="2:195">
      <c r="B296" s="847"/>
      <c r="D296" s="847" t="s">
        <v>607</v>
      </c>
      <c r="E296" s="847"/>
      <c r="J296" s="770">
        <v>39</v>
      </c>
      <c r="K296" s="775"/>
      <c r="M296" s="775">
        <v>0</v>
      </c>
      <c r="O296" s="775">
        <f t="shared" si="962"/>
        <v>0</v>
      </c>
      <c r="Q296" s="775"/>
      <c r="S296" s="775">
        <v>0</v>
      </c>
      <c r="U296" s="775">
        <f t="shared" si="963"/>
        <v>0</v>
      </c>
      <c r="W296" s="775"/>
      <c r="Y296" s="775">
        <v>0</v>
      </c>
      <c r="AA296" s="775">
        <f t="shared" si="964"/>
        <v>0</v>
      </c>
      <c r="AC296" s="775"/>
      <c r="AE296" s="775">
        <v>0</v>
      </c>
      <c r="AG296" s="775">
        <f t="shared" si="965"/>
        <v>0</v>
      </c>
      <c r="AI296" s="775"/>
      <c r="AK296" s="970">
        <v>0</v>
      </c>
      <c r="AM296" s="775">
        <v>0</v>
      </c>
      <c r="AO296" s="775">
        <f t="shared" si="966"/>
        <v>0</v>
      </c>
      <c r="AQ296" s="775"/>
      <c r="AS296" s="775">
        <v>0</v>
      </c>
      <c r="AU296" s="775">
        <f t="shared" si="967"/>
        <v>0</v>
      </c>
      <c r="AW296" s="775"/>
      <c r="AY296" s="775">
        <v>0</v>
      </c>
      <c r="BA296" s="775">
        <f t="shared" si="968"/>
        <v>0</v>
      </c>
      <c r="BC296" s="775"/>
      <c r="BE296" s="775">
        <v>0</v>
      </c>
      <c r="BG296" s="775">
        <f t="shared" si="969"/>
        <v>0</v>
      </c>
      <c r="BI296" s="775"/>
      <c r="BK296" s="775">
        <v>0</v>
      </c>
      <c r="BM296" s="775">
        <f t="shared" si="970"/>
        <v>0</v>
      </c>
      <c r="BO296" s="775"/>
      <c r="BQ296" s="970"/>
      <c r="BS296" s="775">
        <v>0</v>
      </c>
      <c r="BU296" s="775">
        <f t="shared" si="971"/>
        <v>0</v>
      </c>
      <c r="BW296" s="775"/>
      <c r="BZ296" s="970"/>
      <c r="CB296" s="775"/>
      <c r="CD296" s="970"/>
      <c r="CF296" s="775">
        <v>0</v>
      </c>
      <c r="CH296" s="775">
        <f t="shared" si="972"/>
        <v>0</v>
      </c>
      <c r="CJ296" s="775"/>
      <c r="CL296" s="775">
        <v>0</v>
      </c>
      <c r="CN296" s="775">
        <f t="shared" si="973"/>
        <v>0</v>
      </c>
      <c r="CP296" s="775"/>
      <c r="CR296" s="775">
        <v>0</v>
      </c>
      <c r="CT296" s="775">
        <f t="shared" si="974"/>
        <v>0</v>
      </c>
      <c r="CV296" s="971"/>
      <c r="CW296" s="968"/>
      <c r="CX296" s="971">
        <v>0</v>
      </c>
      <c r="CY296" s="968"/>
      <c r="CZ296" s="971">
        <f t="shared" si="975"/>
        <v>0</v>
      </c>
      <c r="DB296" s="775"/>
      <c r="DD296" s="775">
        <v>0</v>
      </c>
      <c r="DF296" s="775">
        <f t="shared" si="976"/>
        <v>0</v>
      </c>
      <c r="DH296" s="971"/>
      <c r="DI296" s="968"/>
      <c r="DJ296" s="971">
        <v>0</v>
      </c>
      <c r="DK296" s="968"/>
      <c r="DL296" s="971">
        <f t="shared" si="977"/>
        <v>0</v>
      </c>
      <c r="DN296" s="971"/>
      <c r="DO296" s="968"/>
      <c r="DP296" s="971">
        <v>0</v>
      </c>
      <c r="DQ296" s="968"/>
      <c r="DR296" s="971">
        <f t="shared" si="978"/>
        <v>0</v>
      </c>
      <c r="DT296" s="775"/>
      <c r="DV296" s="971">
        <v>0</v>
      </c>
      <c r="DX296" s="775">
        <v>0</v>
      </c>
      <c r="DZ296" s="775">
        <f t="shared" si="979"/>
        <v>0</v>
      </c>
      <c r="EB296" s="775"/>
      <c r="ED296" s="972">
        <v>0</v>
      </c>
      <c r="EF296" s="775">
        <v>0</v>
      </c>
      <c r="EH296" s="775">
        <f t="shared" si="980"/>
        <v>0</v>
      </c>
      <c r="EJ296" s="775"/>
      <c r="EL296" s="775">
        <v>0</v>
      </c>
      <c r="EN296" s="775">
        <f t="shared" si="981"/>
        <v>0</v>
      </c>
      <c r="EP296" s="775"/>
      <c r="ER296" s="775">
        <v>0</v>
      </c>
      <c r="ET296" s="775">
        <f t="shared" si="982"/>
        <v>0</v>
      </c>
      <c r="EV296" s="775"/>
      <c r="EX296" s="775">
        <v>0</v>
      </c>
      <c r="EZ296" s="775">
        <f t="shared" si="983"/>
        <v>0</v>
      </c>
      <c r="FB296" s="775"/>
      <c r="FD296" s="775"/>
      <c r="FF296" s="775"/>
      <c r="FH296" s="775">
        <v>0</v>
      </c>
      <c r="FJ296" s="775">
        <f t="shared" si="984"/>
        <v>0</v>
      </c>
      <c r="FL296" s="775"/>
      <c r="FN296" s="775">
        <v>0</v>
      </c>
      <c r="FP296" s="775">
        <f t="shared" si="985"/>
        <v>0</v>
      </c>
      <c r="FR296" s="775"/>
      <c r="FT296" s="775">
        <v>0</v>
      </c>
      <c r="FV296" s="775">
        <f t="shared" si="986"/>
        <v>0</v>
      </c>
      <c r="FX296" s="971"/>
      <c r="FY296" s="968"/>
      <c r="FZ296" s="971">
        <v>0</v>
      </c>
      <c r="GA296" s="968"/>
      <c r="GB296" s="971">
        <f t="shared" si="987"/>
        <v>0</v>
      </c>
      <c r="GC296" s="968"/>
      <c r="GD296" s="971"/>
      <c r="GE296" s="968"/>
      <c r="GF296" s="971">
        <v>0</v>
      </c>
      <c r="GG296" s="968"/>
      <c r="GH296" s="971">
        <v>0</v>
      </c>
      <c r="GK296" s="761">
        <f>O296+U296+AA296+AG296+AO296+AU296+BA296+BG296+BM296+BU296+CH296+CN296+CT296+DF296+DZ296+EH296+EN296+ET296+EZ296+FJ296+FP296+FV296</f>
        <v>0</v>
      </c>
      <c r="GM296" s="761"/>
    </row>
    <row r="297" spans="2:195">
      <c r="D297" s="847" t="s">
        <v>1325</v>
      </c>
      <c r="E297" s="847"/>
      <c r="J297" s="758">
        <v>40</v>
      </c>
      <c r="BQ297" s="952"/>
      <c r="BW297" s="761"/>
      <c r="BZ297" s="952"/>
      <c r="CB297" s="761"/>
      <c r="CD297" s="952"/>
      <c r="CP297" s="761"/>
      <c r="CV297" s="977"/>
      <c r="CW297" s="968"/>
      <c r="CX297" s="977"/>
      <c r="CY297" s="968"/>
      <c r="CZ297" s="977"/>
      <c r="DB297" s="761"/>
      <c r="DH297" s="977"/>
      <c r="DI297" s="968"/>
      <c r="DJ297" s="977"/>
      <c r="DK297" s="968"/>
      <c r="DL297" s="977"/>
      <c r="DN297" s="977"/>
      <c r="DO297" s="968"/>
      <c r="DP297" s="977"/>
      <c r="DQ297" s="968"/>
      <c r="DR297" s="977"/>
      <c r="DT297" s="761"/>
      <c r="DV297" s="977"/>
      <c r="EB297" s="761"/>
      <c r="ED297" s="978"/>
      <c r="EJ297" s="761"/>
      <c r="EP297" s="761"/>
      <c r="EV297" s="761"/>
      <c r="FB297" s="761"/>
      <c r="FD297" s="761"/>
      <c r="FX297" s="977"/>
      <c r="FY297" s="968"/>
      <c r="FZ297" s="977"/>
      <c r="GA297" s="968"/>
      <c r="GB297" s="977"/>
      <c r="GC297" s="968"/>
      <c r="GD297" s="977"/>
      <c r="GE297" s="968"/>
      <c r="GF297" s="977"/>
      <c r="GG297" s="968"/>
      <c r="GH297" s="977"/>
      <c r="GK297" s="761"/>
    </row>
    <row r="298" spans="2:195">
      <c r="B298" s="848"/>
      <c r="D298" s="848" t="s">
        <v>197</v>
      </c>
      <c r="E298" s="847"/>
      <c r="J298" s="758">
        <v>41</v>
      </c>
      <c r="K298" s="775"/>
      <c r="M298" s="775">
        <v>0</v>
      </c>
      <c r="O298" s="775">
        <f t="shared" si="962"/>
        <v>0</v>
      </c>
      <c r="Q298" s="775">
        <v>136310</v>
      </c>
      <c r="S298" s="775">
        <v>0</v>
      </c>
      <c r="U298" s="775">
        <f t="shared" ref="U298:U301" si="988">Q298+S298</f>
        <v>136310</v>
      </c>
      <c r="W298" s="775"/>
      <c r="Y298" s="775">
        <v>0</v>
      </c>
      <c r="AA298" s="775">
        <f t="shared" ref="AA298:AA301" si="989">W298+Y298</f>
        <v>0</v>
      </c>
      <c r="AC298" s="775"/>
      <c r="AE298" s="775">
        <v>0</v>
      </c>
      <c r="AG298" s="775">
        <f t="shared" ref="AG298:AG301" si="990">AC298+AE298</f>
        <v>0</v>
      </c>
      <c r="AI298" s="775">
        <v>54662</v>
      </c>
      <c r="AK298" s="970">
        <v>0</v>
      </c>
      <c r="AM298" s="775">
        <v>0</v>
      </c>
      <c r="AO298" s="775">
        <f t="shared" si="966"/>
        <v>54662</v>
      </c>
      <c r="AQ298" s="775"/>
      <c r="AS298" s="775">
        <v>0</v>
      </c>
      <c r="AU298" s="775">
        <f t="shared" si="967"/>
        <v>0</v>
      </c>
      <c r="AW298" s="775"/>
      <c r="AY298" s="775">
        <v>0</v>
      </c>
      <c r="BA298" s="775">
        <f t="shared" ref="BA298:BA301" si="991">AW298+AY298</f>
        <v>0</v>
      </c>
      <c r="BC298" s="775"/>
      <c r="BE298" s="775">
        <v>0</v>
      </c>
      <c r="BG298" s="775">
        <f t="shared" ref="BG298:BG301" si="992">BC298+BE298</f>
        <v>0</v>
      </c>
      <c r="BI298" s="775"/>
      <c r="BK298" s="775">
        <v>0</v>
      </c>
      <c r="BM298" s="775">
        <f t="shared" ref="BM298:BM301" si="993">BI298+BK298</f>
        <v>0</v>
      </c>
      <c r="BO298" s="775"/>
      <c r="BQ298" s="970"/>
      <c r="BS298" s="775">
        <v>0</v>
      </c>
      <c r="BU298" s="775">
        <f t="shared" si="971"/>
        <v>0</v>
      </c>
      <c r="BW298" s="775"/>
      <c r="BZ298" s="970"/>
      <c r="CB298" s="775"/>
      <c r="CD298" s="970"/>
      <c r="CF298" s="775">
        <v>0</v>
      </c>
      <c r="CH298" s="775">
        <f t="shared" si="972"/>
        <v>0</v>
      </c>
      <c r="CJ298" s="775"/>
      <c r="CL298" s="775">
        <v>0</v>
      </c>
      <c r="CN298" s="775">
        <f t="shared" si="973"/>
        <v>0</v>
      </c>
      <c r="CP298" s="775"/>
      <c r="CR298" s="775">
        <v>0</v>
      </c>
      <c r="CT298" s="775">
        <f t="shared" ref="CT298:CT301" si="994">CP298+CR298</f>
        <v>0</v>
      </c>
      <c r="CV298" s="971"/>
      <c r="CW298" s="968"/>
      <c r="CX298" s="971">
        <v>0</v>
      </c>
      <c r="CY298" s="968"/>
      <c r="CZ298" s="971">
        <f t="shared" ref="CZ298:CZ301" si="995">CV298+CX298</f>
        <v>0</v>
      </c>
      <c r="DB298" s="775">
        <v>40084000</v>
      </c>
      <c r="DD298" s="775">
        <v>0</v>
      </c>
      <c r="DF298" s="775">
        <f t="shared" ref="DF298:DF301" si="996">DB298+DD298</f>
        <v>40084000</v>
      </c>
      <c r="DH298" s="971"/>
      <c r="DI298" s="968"/>
      <c r="DJ298" s="971">
        <v>0</v>
      </c>
      <c r="DK298" s="968"/>
      <c r="DL298" s="971">
        <f t="shared" ref="DL298:DL301" si="997">DH298+DJ298</f>
        <v>0</v>
      </c>
      <c r="DN298" s="971"/>
      <c r="DO298" s="968"/>
      <c r="DP298" s="971">
        <v>0</v>
      </c>
      <c r="DQ298" s="968"/>
      <c r="DR298" s="971">
        <f t="shared" ref="DR298:DR301" si="998">DN298+DP298</f>
        <v>0</v>
      </c>
      <c r="DT298" s="775"/>
      <c r="DV298" s="971">
        <v>0</v>
      </c>
      <c r="DX298" s="775">
        <v>0</v>
      </c>
      <c r="DZ298" s="775">
        <f t="shared" si="979"/>
        <v>0</v>
      </c>
      <c r="EB298" s="775">
        <v>158945</v>
      </c>
      <c r="ED298" s="972">
        <v>0</v>
      </c>
      <c r="EF298" s="775">
        <v>0</v>
      </c>
      <c r="EH298" s="775">
        <f t="shared" ref="EH298:EH301" si="999">EB298+EF298</f>
        <v>158945</v>
      </c>
      <c r="EJ298" s="775"/>
      <c r="EL298" s="775">
        <v>0</v>
      </c>
      <c r="EN298" s="775">
        <f t="shared" si="981"/>
        <v>0</v>
      </c>
      <c r="EP298" s="775">
        <v>7319133</v>
      </c>
      <c r="ER298" s="775">
        <v>0</v>
      </c>
      <c r="ET298" s="775">
        <f t="shared" ref="ET298:ET301" si="1000">EP298+ER298</f>
        <v>7319133</v>
      </c>
      <c r="EV298" s="775"/>
      <c r="EX298" s="775">
        <v>0</v>
      </c>
      <c r="EZ298" s="775">
        <f t="shared" ref="EZ298:EZ301" si="1001">EV298+EX298</f>
        <v>0</v>
      </c>
      <c r="FB298" s="775">
        <v>0</v>
      </c>
      <c r="FD298" s="775"/>
      <c r="FF298" s="775"/>
      <c r="FH298" s="775">
        <v>0</v>
      </c>
      <c r="FJ298" s="775">
        <f t="shared" ref="FJ298:FJ301" si="1002">FF298+FH298</f>
        <v>0</v>
      </c>
      <c r="FL298" s="775"/>
      <c r="FN298" s="775">
        <v>0</v>
      </c>
      <c r="FP298" s="775">
        <f t="shared" ref="FP298:FP301" si="1003">FL298+FN298</f>
        <v>0</v>
      </c>
      <c r="FR298" s="775">
        <v>12171</v>
      </c>
      <c r="FT298" s="775">
        <v>0</v>
      </c>
      <c r="FV298" s="775">
        <f t="shared" ref="FV298:FV301" si="1004">FR298+FT298</f>
        <v>12171</v>
      </c>
      <c r="FX298" s="971"/>
      <c r="FY298" s="968"/>
      <c r="FZ298" s="971">
        <v>0</v>
      </c>
      <c r="GA298" s="968"/>
      <c r="GB298" s="971">
        <f t="shared" si="987"/>
        <v>0</v>
      </c>
      <c r="GC298" s="968"/>
      <c r="GD298" s="971"/>
      <c r="GE298" s="968"/>
      <c r="GF298" s="971">
        <v>0</v>
      </c>
      <c r="GG298" s="968"/>
      <c r="GH298" s="971">
        <v>0</v>
      </c>
      <c r="GK298" s="761">
        <f>O298+U298+AA298+AG298+AO298+AU298+BA298+BG298+BM298+BU298+CH298+CN298+CT298+DF298+DZ298+EH298+EN298+ET298+EZ298+FJ298+FP298+FV298</f>
        <v>47765221</v>
      </c>
      <c r="GM298" s="761"/>
    </row>
    <row r="299" spans="2:195">
      <c r="B299" s="848"/>
      <c r="D299" s="848" t="s">
        <v>198</v>
      </c>
      <c r="E299" s="847"/>
      <c r="J299" s="770">
        <v>42</v>
      </c>
      <c r="K299" s="775"/>
      <c r="M299" s="775">
        <v>0</v>
      </c>
      <c r="O299" s="775">
        <f t="shared" si="962"/>
        <v>0</v>
      </c>
      <c r="Q299" s="775"/>
      <c r="S299" s="775">
        <v>0</v>
      </c>
      <c r="U299" s="775">
        <f t="shared" si="988"/>
        <v>0</v>
      </c>
      <c r="W299" s="775"/>
      <c r="Y299" s="775">
        <v>0</v>
      </c>
      <c r="AA299" s="775">
        <f t="shared" si="989"/>
        <v>0</v>
      </c>
      <c r="AC299" s="775"/>
      <c r="AE299" s="775">
        <v>0</v>
      </c>
      <c r="AG299" s="775">
        <f t="shared" si="990"/>
        <v>0</v>
      </c>
      <c r="AI299" s="775"/>
      <c r="AK299" s="970">
        <v>0</v>
      </c>
      <c r="AM299" s="775">
        <v>0</v>
      </c>
      <c r="AO299" s="775">
        <f t="shared" si="966"/>
        <v>0</v>
      </c>
      <c r="AQ299" s="775"/>
      <c r="AS299" s="775">
        <v>0</v>
      </c>
      <c r="AU299" s="775">
        <f t="shared" si="967"/>
        <v>0</v>
      </c>
      <c r="AW299" s="775"/>
      <c r="AY299" s="775">
        <v>0</v>
      </c>
      <c r="BA299" s="775">
        <f t="shared" si="991"/>
        <v>0</v>
      </c>
      <c r="BC299" s="775"/>
      <c r="BE299" s="775">
        <v>0</v>
      </c>
      <c r="BG299" s="775">
        <f t="shared" si="992"/>
        <v>0</v>
      </c>
      <c r="BI299" s="775"/>
      <c r="BK299" s="775">
        <v>0</v>
      </c>
      <c r="BM299" s="775">
        <f t="shared" si="993"/>
        <v>0</v>
      </c>
      <c r="BO299" s="775"/>
      <c r="BQ299" s="970"/>
      <c r="BS299" s="775">
        <v>0</v>
      </c>
      <c r="BU299" s="775">
        <f t="shared" si="971"/>
        <v>0</v>
      </c>
      <c r="BW299" s="775"/>
      <c r="BZ299" s="970"/>
      <c r="CB299" s="775"/>
      <c r="CD299" s="970"/>
      <c r="CF299" s="775">
        <v>0</v>
      </c>
      <c r="CH299" s="775">
        <f t="shared" si="972"/>
        <v>0</v>
      </c>
      <c r="CJ299" s="775"/>
      <c r="CL299" s="775">
        <v>0</v>
      </c>
      <c r="CN299" s="775">
        <f t="shared" si="973"/>
        <v>0</v>
      </c>
      <c r="CP299" s="775"/>
      <c r="CR299" s="775">
        <v>0</v>
      </c>
      <c r="CT299" s="775">
        <f t="shared" si="994"/>
        <v>0</v>
      </c>
      <c r="CV299" s="971"/>
      <c r="CW299" s="968"/>
      <c r="CX299" s="971">
        <v>0</v>
      </c>
      <c r="CY299" s="968"/>
      <c r="CZ299" s="971">
        <f t="shared" si="995"/>
        <v>0</v>
      </c>
      <c r="DB299" s="775"/>
      <c r="DD299" s="775">
        <v>0</v>
      </c>
      <c r="DF299" s="775">
        <f t="shared" si="996"/>
        <v>0</v>
      </c>
      <c r="DH299" s="971"/>
      <c r="DI299" s="968"/>
      <c r="DJ299" s="971">
        <v>0</v>
      </c>
      <c r="DK299" s="968"/>
      <c r="DL299" s="971">
        <f t="shared" si="997"/>
        <v>0</v>
      </c>
      <c r="DN299" s="971"/>
      <c r="DO299" s="968"/>
      <c r="DP299" s="971">
        <v>0</v>
      </c>
      <c r="DQ299" s="968"/>
      <c r="DR299" s="971">
        <f t="shared" si="998"/>
        <v>0</v>
      </c>
      <c r="DT299" s="775">
        <v>146649</v>
      </c>
      <c r="DV299" s="971">
        <v>0</v>
      </c>
      <c r="DX299" s="775">
        <v>0</v>
      </c>
      <c r="DZ299" s="775">
        <f t="shared" si="979"/>
        <v>146649</v>
      </c>
      <c r="EB299" s="775"/>
      <c r="ED299" s="972">
        <v>0</v>
      </c>
      <c r="EF299" s="775">
        <v>0</v>
      </c>
      <c r="EH299" s="775">
        <f t="shared" si="999"/>
        <v>0</v>
      </c>
      <c r="EJ299" s="775"/>
      <c r="EL299" s="775">
        <v>0</v>
      </c>
      <c r="EN299" s="775">
        <f t="shared" si="981"/>
        <v>0</v>
      </c>
      <c r="EP299" s="775"/>
      <c r="ER299" s="775">
        <v>0</v>
      </c>
      <c r="ET299" s="775">
        <f t="shared" si="1000"/>
        <v>0</v>
      </c>
      <c r="EV299" s="775"/>
      <c r="EX299" s="775">
        <v>0</v>
      </c>
      <c r="EZ299" s="775">
        <f t="shared" si="1001"/>
        <v>0</v>
      </c>
      <c r="FB299" s="775">
        <v>0</v>
      </c>
      <c r="FD299" s="775"/>
      <c r="FF299" s="775"/>
      <c r="FH299" s="775">
        <v>0</v>
      </c>
      <c r="FJ299" s="775">
        <f t="shared" si="1002"/>
        <v>0</v>
      </c>
      <c r="FL299" s="775"/>
      <c r="FN299" s="775">
        <v>0</v>
      </c>
      <c r="FP299" s="775">
        <f t="shared" si="1003"/>
        <v>0</v>
      </c>
      <c r="FR299" s="775"/>
      <c r="FT299" s="775">
        <v>0</v>
      </c>
      <c r="FV299" s="775">
        <f t="shared" si="1004"/>
        <v>0</v>
      </c>
      <c r="FX299" s="971"/>
      <c r="FY299" s="968"/>
      <c r="FZ299" s="971">
        <v>0</v>
      </c>
      <c r="GA299" s="968"/>
      <c r="GB299" s="971">
        <f t="shared" si="987"/>
        <v>0</v>
      </c>
      <c r="GC299" s="968"/>
      <c r="GD299" s="971"/>
      <c r="GE299" s="968"/>
      <c r="GF299" s="971">
        <v>0</v>
      </c>
      <c r="GG299" s="968"/>
      <c r="GH299" s="971">
        <v>0</v>
      </c>
      <c r="GK299" s="761">
        <f>O299+U299+AA299+AG299+AO299+AU299+BA299+BG299+BM299+BU299+CH299+CN299+CT299+DF299+DZ299+EH299+EN299+ET299+EZ299+FJ299+FP299+FV299</f>
        <v>146649</v>
      </c>
      <c r="GM299" s="761"/>
    </row>
    <row r="300" spans="2:195">
      <c r="B300" s="848"/>
      <c r="D300" s="848" t="s">
        <v>199</v>
      </c>
      <c r="E300" s="847"/>
      <c r="J300" s="758">
        <v>43</v>
      </c>
      <c r="K300" s="775"/>
      <c r="M300" s="775">
        <v>0</v>
      </c>
      <c r="O300" s="775">
        <f t="shared" si="962"/>
        <v>0</v>
      </c>
      <c r="Q300" s="775"/>
      <c r="S300" s="775">
        <v>0</v>
      </c>
      <c r="U300" s="775">
        <f t="shared" si="988"/>
        <v>0</v>
      </c>
      <c r="W300" s="775"/>
      <c r="Y300" s="775">
        <v>0</v>
      </c>
      <c r="AA300" s="775">
        <f t="shared" si="989"/>
        <v>0</v>
      </c>
      <c r="AC300" s="775"/>
      <c r="AE300" s="775">
        <v>0</v>
      </c>
      <c r="AG300" s="775">
        <f t="shared" si="990"/>
        <v>0</v>
      </c>
      <c r="AI300" s="775"/>
      <c r="AK300" s="970">
        <v>0</v>
      </c>
      <c r="AM300" s="775">
        <v>0</v>
      </c>
      <c r="AO300" s="775">
        <f t="shared" si="966"/>
        <v>0</v>
      </c>
      <c r="AQ300" s="775"/>
      <c r="AS300" s="775">
        <v>0</v>
      </c>
      <c r="AU300" s="775">
        <f t="shared" si="967"/>
        <v>0</v>
      </c>
      <c r="AW300" s="775"/>
      <c r="AY300" s="775">
        <v>0</v>
      </c>
      <c r="BA300" s="775">
        <f t="shared" si="991"/>
        <v>0</v>
      </c>
      <c r="BC300" s="775"/>
      <c r="BE300" s="775">
        <v>0</v>
      </c>
      <c r="BG300" s="775">
        <f t="shared" si="992"/>
        <v>0</v>
      </c>
      <c r="BI300" s="775"/>
      <c r="BK300" s="775">
        <v>0</v>
      </c>
      <c r="BM300" s="775">
        <f t="shared" si="993"/>
        <v>0</v>
      </c>
      <c r="BO300" s="775"/>
      <c r="BQ300" s="970"/>
      <c r="BS300" s="775">
        <v>0</v>
      </c>
      <c r="BU300" s="775">
        <f t="shared" si="971"/>
        <v>0</v>
      </c>
      <c r="BW300" s="775"/>
      <c r="BZ300" s="970"/>
      <c r="CB300" s="775"/>
      <c r="CD300" s="970"/>
      <c r="CF300" s="775">
        <v>0</v>
      </c>
      <c r="CH300" s="775">
        <f t="shared" si="972"/>
        <v>0</v>
      </c>
      <c r="CJ300" s="775"/>
      <c r="CL300" s="775">
        <v>0</v>
      </c>
      <c r="CN300" s="775">
        <f t="shared" si="973"/>
        <v>0</v>
      </c>
      <c r="CP300" s="775"/>
      <c r="CR300" s="775">
        <v>0</v>
      </c>
      <c r="CT300" s="775">
        <f t="shared" si="994"/>
        <v>0</v>
      </c>
      <c r="CV300" s="971"/>
      <c r="CW300" s="968"/>
      <c r="CX300" s="971">
        <v>0</v>
      </c>
      <c r="CY300" s="968"/>
      <c r="CZ300" s="971">
        <f t="shared" si="995"/>
        <v>0</v>
      </c>
      <c r="DB300" s="775"/>
      <c r="DD300" s="775">
        <v>0</v>
      </c>
      <c r="DF300" s="775">
        <f t="shared" si="996"/>
        <v>0</v>
      </c>
      <c r="DH300" s="971"/>
      <c r="DI300" s="968"/>
      <c r="DJ300" s="971">
        <v>0</v>
      </c>
      <c r="DK300" s="968"/>
      <c r="DL300" s="971">
        <f t="shared" si="997"/>
        <v>0</v>
      </c>
      <c r="DN300" s="971"/>
      <c r="DO300" s="968"/>
      <c r="DP300" s="971">
        <v>0</v>
      </c>
      <c r="DQ300" s="968"/>
      <c r="DR300" s="971">
        <f t="shared" si="998"/>
        <v>0</v>
      </c>
      <c r="DT300" s="775"/>
      <c r="DV300" s="971">
        <v>0</v>
      </c>
      <c r="DX300" s="775">
        <v>0</v>
      </c>
      <c r="DZ300" s="775">
        <f t="shared" si="979"/>
        <v>0</v>
      </c>
      <c r="EB300" s="775"/>
      <c r="ED300" s="972">
        <v>0</v>
      </c>
      <c r="EF300" s="775">
        <v>0</v>
      </c>
      <c r="EH300" s="775">
        <f t="shared" si="999"/>
        <v>0</v>
      </c>
      <c r="EJ300" s="775"/>
      <c r="EL300" s="775">
        <v>0</v>
      </c>
      <c r="EN300" s="775">
        <f t="shared" si="981"/>
        <v>0</v>
      </c>
      <c r="EP300" s="775"/>
      <c r="ER300" s="775">
        <v>0</v>
      </c>
      <c r="ET300" s="775">
        <f t="shared" si="1000"/>
        <v>0</v>
      </c>
      <c r="EV300" s="775"/>
      <c r="EX300" s="775">
        <v>0</v>
      </c>
      <c r="EZ300" s="775">
        <f t="shared" si="1001"/>
        <v>0</v>
      </c>
      <c r="FB300" s="775">
        <v>0</v>
      </c>
      <c r="FD300" s="775"/>
      <c r="FF300" s="775"/>
      <c r="FH300" s="775">
        <v>0</v>
      </c>
      <c r="FJ300" s="775">
        <f t="shared" si="1002"/>
        <v>0</v>
      </c>
      <c r="FL300" s="775"/>
      <c r="FN300" s="775">
        <v>0</v>
      </c>
      <c r="FP300" s="775">
        <f t="shared" si="1003"/>
        <v>0</v>
      </c>
      <c r="FR300" s="775"/>
      <c r="FT300" s="775">
        <v>0</v>
      </c>
      <c r="FV300" s="775">
        <f t="shared" si="1004"/>
        <v>0</v>
      </c>
      <c r="FX300" s="971"/>
      <c r="FY300" s="968"/>
      <c r="FZ300" s="971">
        <v>0</v>
      </c>
      <c r="GA300" s="968"/>
      <c r="GB300" s="971">
        <f t="shared" si="987"/>
        <v>0</v>
      </c>
      <c r="GC300" s="968"/>
      <c r="GD300" s="971"/>
      <c r="GE300" s="968"/>
      <c r="GF300" s="971">
        <v>0</v>
      </c>
      <c r="GG300" s="968"/>
      <c r="GH300" s="971">
        <v>0</v>
      </c>
      <c r="GK300" s="761">
        <f>O300+U300+AA300+AG300+AO300+AU300+BA300+BG300+BM300+BU300+CH300+CN300+CT300+DF300+DZ300+EH300+EN300+ET300+EZ300+FJ300+FP300+FV300</f>
        <v>0</v>
      </c>
      <c r="GM300" s="761"/>
    </row>
    <row r="301" spans="2:195">
      <c r="B301" s="848"/>
      <c r="D301" s="848" t="s">
        <v>200</v>
      </c>
      <c r="E301" s="847"/>
      <c r="J301" s="770">
        <v>44</v>
      </c>
      <c r="K301" s="775"/>
      <c r="M301" s="775">
        <v>0</v>
      </c>
      <c r="O301" s="775">
        <f t="shared" si="962"/>
        <v>0</v>
      </c>
      <c r="Q301" s="775"/>
      <c r="S301" s="775">
        <v>0</v>
      </c>
      <c r="U301" s="775">
        <f t="shared" si="988"/>
        <v>0</v>
      </c>
      <c r="W301" s="775"/>
      <c r="Y301" s="775">
        <v>0</v>
      </c>
      <c r="AA301" s="775">
        <f t="shared" si="989"/>
        <v>0</v>
      </c>
      <c r="AC301" s="775"/>
      <c r="AE301" s="775">
        <v>0</v>
      </c>
      <c r="AG301" s="775">
        <f t="shared" si="990"/>
        <v>0</v>
      </c>
      <c r="AI301" s="775"/>
      <c r="AK301" s="970">
        <v>0</v>
      </c>
      <c r="AM301" s="775">
        <v>0</v>
      </c>
      <c r="AO301" s="775">
        <f t="shared" si="966"/>
        <v>0</v>
      </c>
      <c r="AQ301" s="775"/>
      <c r="AS301" s="775">
        <v>0</v>
      </c>
      <c r="AU301" s="775">
        <f t="shared" si="967"/>
        <v>0</v>
      </c>
      <c r="AW301" s="775"/>
      <c r="AY301" s="775">
        <v>0</v>
      </c>
      <c r="BA301" s="775">
        <f t="shared" si="991"/>
        <v>0</v>
      </c>
      <c r="BC301" s="775"/>
      <c r="BE301" s="775">
        <v>0</v>
      </c>
      <c r="BG301" s="775">
        <f t="shared" si="992"/>
        <v>0</v>
      </c>
      <c r="BI301" s="775"/>
      <c r="BK301" s="775">
        <v>0</v>
      </c>
      <c r="BM301" s="775">
        <f t="shared" si="993"/>
        <v>0</v>
      </c>
      <c r="BO301" s="775"/>
      <c r="BQ301" s="970"/>
      <c r="BS301" s="775">
        <v>0</v>
      </c>
      <c r="BU301" s="775">
        <f t="shared" si="971"/>
        <v>0</v>
      </c>
      <c r="BW301" s="775">
        <v>185537</v>
      </c>
      <c r="BZ301" s="970"/>
      <c r="CB301" s="775"/>
      <c r="CD301" s="970"/>
      <c r="CF301" s="775">
        <v>0</v>
      </c>
      <c r="CH301" s="775">
        <f t="shared" si="972"/>
        <v>185537</v>
      </c>
      <c r="CJ301" s="775"/>
      <c r="CL301" s="775">
        <v>0</v>
      </c>
      <c r="CN301" s="775">
        <f t="shared" si="973"/>
        <v>0</v>
      </c>
      <c r="CP301" s="775"/>
      <c r="CR301" s="775">
        <v>0</v>
      </c>
      <c r="CT301" s="775">
        <f t="shared" si="994"/>
        <v>0</v>
      </c>
      <c r="CV301" s="971"/>
      <c r="CW301" s="968"/>
      <c r="CX301" s="971">
        <v>0</v>
      </c>
      <c r="CY301" s="968"/>
      <c r="CZ301" s="971">
        <f t="shared" si="995"/>
        <v>0</v>
      </c>
      <c r="DB301" s="775"/>
      <c r="DD301" s="775">
        <v>0</v>
      </c>
      <c r="DF301" s="775">
        <f t="shared" si="996"/>
        <v>0</v>
      </c>
      <c r="DH301" s="971"/>
      <c r="DI301" s="968"/>
      <c r="DJ301" s="971">
        <v>0</v>
      </c>
      <c r="DK301" s="968"/>
      <c r="DL301" s="971">
        <f t="shared" si="997"/>
        <v>0</v>
      </c>
      <c r="DN301" s="971"/>
      <c r="DO301" s="968"/>
      <c r="DP301" s="971">
        <v>0</v>
      </c>
      <c r="DQ301" s="968"/>
      <c r="DR301" s="971">
        <f t="shared" si="998"/>
        <v>0</v>
      </c>
      <c r="DT301" s="775"/>
      <c r="DV301" s="971">
        <v>0</v>
      </c>
      <c r="DX301" s="775">
        <v>0</v>
      </c>
      <c r="DZ301" s="775">
        <f t="shared" si="979"/>
        <v>0</v>
      </c>
      <c r="EB301" s="775"/>
      <c r="ED301" s="972">
        <v>0</v>
      </c>
      <c r="EF301" s="775">
        <v>0</v>
      </c>
      <c r="EH301" s="775">
        <f t="shared" si="999"/>
        <v>0</v>
      </c>
      <c r="EJ301" s="775"/>
      <c r="EL301" s="775">
        <v>0</v>
      </c>
      <c r="EN301" s="775">
        <f t="shared" si="981"/>
        <v>0</v>
      </c>
      <c r="EP301" s="775"/>
      <c r="ER301" s="775">
        <v>0</v>
      </c>
      <c r="ET301" s="775">
        <f t="shared" si="1000"/>
        <v>0</v>
      </c>
      <c r="EV301" s="775"/>
      <c r="EX301" s="775">
        <v>0</v>
      </c>
      <c r="EZ301" s="775">
        <f t="shared" si="1001"/>
        <v>0</v>
      </c>
      <c r="FB301" s="775">
        <v>0</v>
      </c>
      <c r="FD301" s="775"/>
      <c r="FF301" s="775"/>
      <c r="FH301" s="775">
        <v>0</v>
      </c>
      <c r="FJ301" s="775">
        <f t="shared" si="1002"/>
        <v>0</v>
      </c>
      <c r="FL301" s="775"/>
      <c r="FN301" s="775">
        <v>0</v>
      </c>
      <c r="FP301" s="775">
        <f t="shared" si="1003"/>
        <v>0</v>
      </c>
      <c r="FR301" s="775"/>
      <c r="FT301" s="775">
        <v>0</v>
      </c>
      <c r="FV301" s="775">
        <f t="shared" si="1004"/>
        <v>0</v>
      </c>
      <c r="FX301" s="971"/>
      <c r="FY301" s="968"/>
      <c r="FZ301" s="971">
        <v>0</v>
      </c>
      <c r="GA301" s="968"/>
      <c r="GB301" s="971">
        <f t="shared" si="987"/>
        <v>0</v>
      </c>
      <c r="GC301" s="968"/>
      <c r="GD301" s="971"/>
      <c r="GE301" s="968"/>
      <c r="GF301" s="971">
        <v>0</v>
      </c>
      <c r="GG301" s="968"/>
      <c r="GH301" s="971">
        <v>0</v>
      </c>
      <c r="GK301" s="761">
        <f>O301+U301+AA301+AG301+AO301+AU301+BA301+BG301+BM301+BU301+CH301+CN301+CT301+DF301+DZ301+EH301+EN301+ET301+EZ301+FJ301+FP301+FV301</f>
        <v>185537</v>
      </c>
      <c r="GM301" s="761"/>
    </row>
    <row r="302" spans="2:195">
      <c r="C302" s="849"/>
      <c r="D302" s="849" t="s">
        <v>170</v>
      </c>
      <c r="E302" s="848"/>
      <c r="J302" s="758">
        <v>45</v>
      </c>
      <c r="K302" s="777">
        <f>SUM(K292:K301)</f>
        <v>0</v>
      </c>
      <c r="M302" s="777">
        <f>SUM(M292:M301)</f>
        <v>0</v>
      </c>
      <c r="O302" s="777">
        <f>SUM(O292:O301)</f>
        <v>0</v>
      </c>
      <c r="Q302" s="777">
        <f>SUM(Q292:Q301)</f>
        <v>547282</v>
      </c>
      <c r="S302" s="777">
        <f>SUM(S292:S301)</f>
        <v>0</v>
      </c>
      <c r="U302" s="777">
        <f>SUM(U292:U301)</f>
        <v>547282</v>
      </c>
      <c r="W302" s="777">
        <f>SUM(W292:W301)</f>
        <v>0</v>
      </c>
      <c r="Y302" s="777">
        <f>SUM(Y292:Y301)</f>
        <v>0</v>
      </c>
      <c r="AA302" s="777">
        <f>SUM(AA292:AA301)</f>
        <v>0</v>
      </c>
      <c r="AC302" s="777">
        <f>SUM(AC292:AC301)</f>
        <v>0</v>
      </c>
      <c r="AE302" s="777">
        <f>SUM(AE292:AE301)</f>
        <v>0</v>
      </c>
      <c r="AG302" s="777">
        <f>SUM(AG292:AG301)</f>
        <v>0</v>
      </c>
      <c r="AI302" s="777">
        <f>SUM(AI292:AI301)</f>
        <v>2868654</v>
      </c>
      <c r="AK302" s="974">
        <f>SUM(AK292:AK301)</f>
        <v>0</v>
      </c>
      <c r="AM302" s="777">
        <f>SUM(AM292:AM301)</f>
        <v>0</v>
      </c>
      <c r="AO302" s="777">
        <f>SUM(AO292:AO301)</f>
        <v>2868654</v>
      </c>
      <c r="AQ302" s="777">
        <f>SUM(AQ292:AQ301)</f>
        <v>0</v>
      </c>
      <c r="AS302" s="777">
        <f>SUM(AS292:AS301)</f>
        <v>0</v>
      </c>
      <c r="AU302" s="777">
        <f>SUM(AU292:AU301)</f>
        <v>0</v>
      </c>
      <c r="AW302" s="777">
        <f>SUM(AW292:AW301)</f>
        <v>0</v>
      </c>
      <c r="AY302" s="777">
        <f>SUM(AY292:AY301)</f>
        <v>0</v>
      </c>
      <c r="BA302" s="777">
        <f>SUM(BA292:BA301)</f>
        <v>0</v>
      </c>
      <c r="BC302" s="777">
        <f>SUM(BC292:BC301)</f>
        <v>1115728</v>
      </c>
      <c r="BE302" s="777">
        <f>SUM(BE292:BE301)</f>
        <v>0</v>
      </c>
      <c r="BG302" s="777">
        <f>SUM(BG292:BG301)</f>
        <v>1115728</v>
      </c>
      <c r="BI302" s="777">
        <f>SUM(BI292:BI301)</f>
        <v>0</v>
      </c>
      <c r="BK302" s="777">
        <f>SUM(BK292:BK301)</f>
        <v>0</v>
      </c>
      <c r="BM302" s="777">
        <f>SUM(BM292:BM301)</f>
        <v>0</v>
      </c>
      <c r="BO302" s="777">
        <f>SUM(BO292:BO301)</f>
        <v>0</v>
      </c>
      <c r="BQ302" s="974">
        <f>SUM(BQ292:BQ301)</f>
        <v>0</v>
      </c>
      <c r="BS302" s="777">
        <f>SUM(BS292:BS301)</f>
        <v>0</v>
      </c>
      <c r="BU302" s="777">
        <f>SUM(BU292:BU301)</f>
        <v>0</v>
      </c>
      <c r="BW302" s="777">
        <f>SUM(BW292:BW301)</f>
        <v>428842</v>
      </c>
      <c r="BZ302" s="974">
        <f>SUM(BZ292:BZ301)</f>
        <v>0</v>
      </c>
      <c r="CB302" s="777">
        <f>SUM(CB292:CB301)</f>
        <v>0</v>
      </c>
      <c r="CD302" s="974">
        <f>SUM(CD292:CD301)</f>
        <v>0</v>
      </c>
      <c r="CF302" s="777">
        <f>SUM(CF292:CF301)</f>
        <v>0</v>
      </c>
      <c r="CH302" s="777">
        <f>SUM(CH292:CH301)</f>
        <v>428842</v>
      </c>
      <c r="CJ302" s="777">
        <f>SUM(CJ292:CJ301)</f>
        <v>0</v>
      </c>
      <c r="CL302" s="777">
        <f>SUM(CL292:CL301)</f>
        <v>0</v>
      </c>
      <c r="CN302" s="777">
        <f>SUM(CN292:CN301)</f>
        <v>0</v>
      </c>
      <c r="CP302" s="777">
        <f>SUM(CP292:CP301)</f>
        <v>20052</v>
      </c>
      <c r="CR302" s="777">
        <f>SUM(CR292:CR301)</f>
        <v>0</v>
      </c>
      <c r="CT302" s="777">
        <f>SUM(CT292:CT301)</f>
        <v>20052</v>
      </c>
      <c r="CV302" s="975">
        <f>SUM(CV292:CV301)</f>
        <v>0</v>
      </c>
      <c r="CW302" s="968"/>
      <c r="CX302" s="975">
        <f>SUM(CX292:CX301)</f>
        <v>0</v>
      </c>
      <c r="CY302" s="968"/>
      <c r="CZ302" s="975">
        <f>SUM(CZ292:CZ301)</f>
        <v>0</v>
      </c>
      <c r="DB302" s="777">
        <f>SUM(DB292:DB301)</f>
        <v>1242983000</v>
      </c>
      <c r="DD302" s="777">
        <f>SUM(DD292:DD301)</f>
        <v>0</v>
      </c>
      <c r="DF302" s="777">
        <f>SUM(DF292:DF301)</f>
        <v>1242983000</v>
      </c>
      <c r="DH302" s="975">
        <f>SUM(DH292:DH301)</f>
        <v>0</v>
      </c>
      <c r="DI302" s="968"/>
      <c r="DJ302" s="975">
        <f>SUM(DJ292:DJ301)</f>
        <v>0</v>
      </c>
      <c r="DK302" s="968"/>
      <c r="DL302" s="975">
        <f>SUM(DL292:DL301)</f>
        <v>0</v>
      </c>
      <c r="DN302" s="975">
        <f>SUM(DN292:DN301)</f>
        <v>0</v>
      </c>
      <c r="DO302" s="968"/>
      <c r="DP302" s="975">
        <f>SUM(DP292:DP301)</f>
        <v>0</v>
      </c>
      <c r="DQ302" s="968"/>
      <c r="DR302" s="975">
        <f>SUM(DR292:DR301)</f>
        <v>0</v>
      </c>
      <c r="DT302" s="777">
        <f>SUM(DT292:DT301)</f>
        <v>547792</v>
      </c>
      <c r="DV302" s="975">
        <f>SUM(DV292:DV301)</f>
        <v>0</v>
      </c>
      <c r="DX302" s="777">
        <f>SUM(DX292:DX301)</f>
        <v>0</v>
      </c>
      <c r="DZ302" s="777">
        <f>SUM(DZ292:DZ301)</f>
        <v>547792</v>
      </c>
      <c r="EB302" s="777">
        <f>SUM(EB292:EB301)</f>
        <v>59269347</v>
      </c>
      <c r="ED302" s="976">
        <f>SUM(ED292:ED301)</f>
        <v>0</v>
      </c>
      <c r="EF302" s="777">
        <f>SUM(EF292:EF301)</f>
        <v>0</v>
      </c>
      <c r="EH302" s="777">
        <f>SUM(EH292:EH301)</f>
        <v>59269347</v>
      </c>
      <c r="EJ302" s="777">
        <f>SUM(EJ292:EJ301)</f>
        <v>252634</v>
      </c>
      <c r="EL302" s="777">
        <f>SUM(EL292:EL301)</f>
        <v>0</v>
      </c>
      <c r="EN302" s="777">
        <f>SUM(EN292:EN301)</f>
        <v>252634</v>
      </c>
      <c r="EP302" s="777">
        <f>SUM(EP292:EP301)</f>
        <v>48356436</v>
      </c>
      <c r="ER302" s="777">
        <f>SUM(ER292:ER301)</f>
        <v>0</v>
      </c>
      <c r="ET302" s="777">
        <f>SUM(ET292:ET301)</f>
        <v>48356436</v>
      </c>
      <c r="EV302" s="777">
        <f>SUM(EV292:EV301)</f>
        <v>1031294620</v>
      </c>
      <c r="EX302" s="777">
        <f>SUM(EX292:EX301)</f>
        <v>0</v>
      </c>
      <c r="EZ302" s="777">
        <f>SUM(EZ292:EZ301)</f>
        <v>1031294620</v>
      </c>
      <c r="FB302" s="777">
        <f>SUM(FB292:FB301)</f>
        <v>0</v>
      </c>
      <c r="FD302" s="777">
        <f>SUM(FD292:FD301)</f>
        <v>0</v>
      </c>
      <c r="FF302" s="777">
        <f>SUM(FF292:FF301)</f>
        <v>0</v>
      </c>
      <c r="FH302" s="777">
        <f>SUM(FH292:FH301)</f>
        <v>0</v>
      </c>
      <c r="FJ302" s="777">
        <f>SUM(FJ292:FJ301)</f>
        <v>0</v>
      </c>
      <c r="FL302" s="777">
        <f>SUM(FL292:FL301)</f>
        <v>236064</v>
      </c>
      <c r="FN302" s="777">
        <f>SUM(FN292:FN301)</f>
        <v>0</v>
      </c>
      <c r="FP302" s="777">
        <f>SUM(FP292:FP301)</f>
        <v>236064</v>
      </c>
      <c r="FR302" s="777">
        <f>SUM(FR292:FR301)</f>
        <v>4624674</v>
      </c>
      <c r="FT302" s="777">
        <f>SUM(FT292:FT301)</f>
        <v>0</v>
      </c>
      <c r="FV302" s="777">
        <f>SUM(FV292:FV301)</f>
        <v>4624674</v>
      </c>
      <c r="FX302" s="975">
        <f>SUM(FX292:FX301)</f>
        <v>0</v>
      </c>
      <c r="FY302" s="968"/>
      <c r="FZ302" s="975">
        <f>SUM(FZ292:FZ301)</f>
        <v>0</v>
      </c>
      <c r="GA302" s="968"/>
      <c r="GB302" s="975">
        <f>SUM(GB292:GB301)</f>
        <v>0</v>
      </c>
      <c r="GC302" s="968"/>
      <c r="GD302" s="975">
        <v>0</v>
      </c>
      <c r="GE302" s="968"/>
      <c r="GF302" s="975">
        <v>0</v>
      </c>
      <c r="GG302" s="968"/>
      <c r="GH302" s="975">
        <v>0</v>
      </c>
      <c r="GK302" s="761">
        <f>O302+U302+AA302+AG302+AO302+AU302+BA302+BG302+BM302+BU302+CH302+CN302+CT302+DF302+DZ302+EH302+EN302+ET302+EZ302+FJ302+FP302+FV302</f>
        <v>2392545125</v>
      </c>
      <c r="GM302" s="761"/>
    </row>
    <row r="303" spans="2:195">
      <c r="D303" s="849" t="s">
        <v>171</v>
      </c>
      <c r="E303" s="848"/>
      <c r="J303" s="758">
        <v>46</v>
      </c>
      <c r="BQ303" s="952"/>
      <c r="BW303" s="761"/>
      <c r="BZ303" s="952"/>
      <c r="CB303" s="761"/>
      <c r="CD303" s="952"/>
      <c r="CP303" s="761"/>
      <c r="CV303" s="977"/>
      <c r="CW303" s="968"/>
      <c r="CX303" s="977"/>
      <c r="CY303" s="968"/>
      <c r="CZ303" s="977"/>
      <c r="DB303" s="761"/>
      <c r="DH303" s="977"/>
      <c r="DI303" s="968"/>
      <c r="DJ303" s="977"/>
      <c r="DK303" s="968"/>
      <c r="DL303" s="977"/>
      <c r="DN303" s="977"/>
      <c r="DO303" s="968"/>
      <c r="DP303" s="977"/>
      <c r="DQ303" s="968"/>
      <c r="DR303" s="977"/>
      <c r="DT303" s="761"/>
      <c r="DV303" s="977"/>
      <c r="EB303" s="761"/>
      <c r="ED303" s="978"/>
      <c r="EJ303" s="761"/>
      <c r="EP303" s="761"/>
      <c r="EV303" s="761"/>
      <c r="FB303" s="761"/>
      <c r="FD303" s="761"/>
      <c r="FX303" s="977"/>
      <c r="FY303" s="968"/>
      <c r="FZ303" s="977"/>
      <c r="GA303" s="968"/>
      <c r="GB303" s="977"/>
      <c r="GC303" s="968"/>
      <c r="GD303" s="977"/>
      <c r="GE303" s="968"/>
      <c r="GF303" s="977"/>
      <c r="GG303" s="968"/>
      <c r="GH303" s="977"/>
    </row>
    <row r="304" spans="2:195">
      <c r="B304" s="847"/>
      <c r="D304" s="847" t="s">
        <v>1468</v>
      </c>
      <c r="E304" s="847"/>
      <c r="J304" s="770">
        <v>47</v>
      </c>
      <c r="BQ304" s="952"/>
      <c r="BW304" s="761"/>
      <c r="BZ304" s="952"/>
      <c r="CB304" s="761"/>
      <c r="CD304" s="952"/>
      <c r="CP304" s="761"/>
      <c r="CV304" s="977"/>
      <c r="CW304" s="968"/>
      <c r="CX304" s="977"/>
      <c r="CY304" s="968"/>
      <c r="CZ304" s="977"/>
      <c r="DB304" s="761"/>
      <c r="DH304" s="977"/>
      <c r="DI304" s="968"/>
      <c r="DJ304" s="977"/>
      <c r="DK304" s="968"/>
      <c r="DL304" s="977"/>
      <c r="DN304" s="977"/>
      <c r="DO304" s="968"/>
      <c r="DP304" s="977"/>
      <c r="DQ304" s="968"/>
      <c r="DR304" s="977"/>
      <c r="DT304" s="761"/>
      <c r="DV304" s="977"/>
      <c r="EB304" s="761"/>
      <c r="ED304" s="978"/>
      <c r="EJ304" s="761"/>
      <c r="EP304" s="761"/>
      <c r="EV304" s="761"/>
      <c r="FB304" s="761"/>
      <c r="FD304" s="761"/>
      <c r="FX304" s="977"/>
      <c r="FY304" s="968"/>
      <c r="FZ304" s="977"/>
      <c r="GA304" s="968"/>
      <c r="GB304" s="977"/>
      <c r="GC304" s="968"/>
      <c r="GD304" s="977"/>
      <c r="GE304" s="968"/>
      <c r="GF304" s="977"/>
      <c r="GG304" s="968"/>
      <c r="GH304" s="977"/>
    </row>
    <row r="305" spans="2:195">
      <c r="D305" s="847" t="s">
        <v>1466</v>
      </c>
      <c r="E305" s="847"/>
      <c r="J305" s="758">
        <v>48</v>
      </c>
      <c r="BQ305" s="952"/>
      <c r="BW305" s="761"/>
      <c r="BZ305" s="952"/>
      <c r="CB305" s="761"/>
      <c r="CD305" s="952"/>
      <c r="CP305" s="761"/>
      <c r="CV305" s="977"/>
      <c r="CW305" s="968"/>
      <c r="CX305" s="977"/>
      <c r="CY305" s="968"/>
      <c r="CZ305" s="977"/>
      <c r="DB305" s="761"/>
      <c r="DH305" s="977"/>
      <c r="DI305" s="968"/>
      <c r="DJ305" s="977"/>
      <c r="DK305" s="968"/>
      <c r="DL305" s="977"/>
      <c r="DN305" s="977"/>
      <c r="DO305" s="968"/>
      <c r="DP305" s="977"/>
      <c r="DQ305" s="968"/>
      <c r="DR305" s="977"/>
      <c r="DT305" s="761"/>
      <c r="DV305" s="977"/>
      <c r="EB305" s="761"/>
      <c r="ED305" s="978"/>
      <c r="EJ305" s="761"/>
      <c r="EP305" s="761"/>
      <c r="EV305" s="761"/>
      <c r="FB305" s="761"/>
      <c r="FD305" s="761"/>
      <c r="FX305" s="977"/>
      <c r="FY305" s="968"/>
      <c r="FZ305" s="977"/>
      <c r="GA305" s="968"/>
      <c r="GB305" s="977"/>
      <c r="GC305" s="968"/>
      <c r="GD305" s="977"/>
      <c r="GE305" s="968"/>
      <c r="GF305" s="977"/>
      <c r="GG305" s="968"/>
      <c r="GH305" s="977"/>
    </row>
    <row r="306" spans="2:195">
      <c r="B306" s="848"/>
      <c r="D306" s="848" t="s">
        <v>1391</v>
      </c>
      <c r="E306" s="847"/>
      <c r="J306" s="770">
        <v>49</v>
      </c>
      <c r="K306" s="775"/>
      <c r="M306" s="775"/>
      <c r="O306" s="775">
        <f t="shared" ref="O306:O312" si="1005">K306+M306</f>
        <v>0</v>
      </c>
      <c r="Q306" s="775"/>
      <c r="S306" s="775"/>
      <c r="U306" s="775">
        <f t="shared" ref="U306:U312" si="1006">Q306+S306</f>
        <v>0</v>
      </c>
      <c r="W306" s="775"/>
      <c r="Y306" s="775"/>
      <c r="AA306" s="775">
        <f t="shared" ref="AA306:AA312" si="1007">W306+Y306</f>
        <v>0</v>
      </c>
      <c r="AC306" s="775"/>
      <c r="AE306" s="775"/>
      <c r="AG306" s="775">
        <f t="shared" ref="AG306:AG312" si="1008">AC306+AE306</f>
        <v>0</v>
      </c>
      <c r="AI306" s="775"/>
      <c r="AK306" s="970">
        <v>0</v>
      </c>
      <c r="AM306" s="775"/>
      <c r="AO306" s="775">
        <f t="shared" ref="AO306:AO312" si="1009">AI306+AM306</f>
        <v>0</v>
      </c>
      <c r="AQ306" s="775"/>
      <c r="AS306" s="775"/>
      <c r="AU306" s="775">
        <f t="shared" ref="AU306:AU312" si="1010">AQ306+AS306</f>
        <v>0</v>
      </c>
      <c r="AW306" s="775"/>
      <c r="AY306" s="775"/>
      <c r="BA306" s="775">
        <f t="shared" ref="BA306:BA312" si="1011">AW306+AY306</f>
        <v>0</v>
      </c>
      <c r="BC306" s="775"/>
      <c r="BE306" s="775"/>
      <c r="BG306" s="775">
        <f t="shared" ref="BG306:BG312" si="1012">BC306+BE306</f>
        <v>0</v>
      </c>
      <c r="BI306" s="775"/>
      <c r="BK306" s="775"/>
      <c r="BM306" s="775">
        <f t="shared" ref="BM306:BM312" si="1013">BI306+BK306</f>
        <v>0</v>
      </c>
      <c r="BO306" s="775"/>
      <c r="BQ306" s="970"/>
      <c r="BS306" s="775"/>
      <c r="BU306" s="775">
        <f t="shared" ref="BU306:BU312" si="1014">BO306+BS306</f>
        <v>0</v>
      </c>
      <c r="BW306" s="775"/>
      <c r="BZ306" s="970"/>
      <c r="CB306" s="775"/>
      <c r="CD306" s="970"/>
      <c r="CF306" s="775"/>
      <c r="CH306" s="775">
        <f t="shared" ref="CH306:CH312" si="1015">BW306+CF306</f>
        <v>0</v>
      </c>
      <c r="CJ306" s="775"/>
      <c r="CL306" s="775"/>
      <c r="CN306" s="775">
        <f t="shared" ref="CN306:CN312" si="1016">CJ306+CL306</f>
        <v>0</v>
      </c>
      <c r="CP306" s="775"/>
      <c r="CR306" s="775"/>
      <c r="CT306" s="775">
        <f t="shared" ref="CT306:CT312" si="1017">CP306+CR306</f>
        <v>0</v>
      </c>
      <c r="CV306" s="971"/>
      <c r="CW306" s="968"/>
      <c r="CX306" s="971"/>
      <c r="CY306" s="968"/>
      <c r="CZ306" s="971">
        <f t="shared" ref="CZ306:CZ312" si="1018">CV306+CX306</f>
        <v>0</v>
      </c>
      <c r="DB306" s="775"/>
      <c r="DD306" s="775"/>
      <c r="DF306" s="775">
        <f t="shared" ref="DF306:DF312" si="1019">DB306+DD306</f>
        <v>0</v>
      </c>
      <c r="DH306" s="971"/>
      <c r="DI306" s="968"/>
      <c r="DJ306" s="971"/>
      <c r="DK306" s="968"/>
      <c r="DL306" s="971">
        <f t="shared" ref="DL306:DL312" si="1020">DH306+DJ306</f>
        <v>0</v>
      </c>
      <c r="DN306" s="971"/>
      <c r="DO306" s="968"/>
      <c r="DP306" s="971"/>
      <c r="DQ306" s="968"/>
      <c r="DR306" s="971">
        <f t="shared" ref="DR306:DR312" si="1021">DN306+DP306</f>
        <v>0</v>
      </c>
      <c r="DT306" s="775"/>
      <c r="DV306" s="971">
        <v>0</v>
      </c>
      <c r="DX306" s="775"/>
      <c r="DZ306" s="775">
        <f t="shared" ref="DZ306:DZ312" si="1022">DT306+DX306</f>
        <v>0</v>
      </c>
      <c r="EB306" s="775"/>
      <c r="ED306" s="972"/>
      <c r="EF306" s="775"/>
      <c r="EH306" s="775">
        <f t="shared" ref="EH306:EH312" si="1023">EB306+EF306</f>
        <v>0</v>
      </c>
      <c r="EJ306" s="775"/>
      <c r="EL306" s="775"/>
      <c r="EN306" s="775">
        <f t="shared" ref="EN306:EN312" si="1024">EJ306+EL306</f>
        <v>0</v>
      </c>
      <c r="EP306" s="775"/>
      <c r="ER306" s="775"/>
      <c r="ET306" s="775">
        <f t="shared" ref="ET306:ET312" si="1025">EP306+ER306</f>
        <v>0</v>
      </c>
      <c r="EV306" s="775">
        <v>965436</v>
      </c>
      <c r="EX306" s="775"/>
      <c r="EZ306" s="775">
        <f t="shared" ref="EZ306:EZ312" si="1026">EV306+EX306</f>
        <v>965436</v>
      </c>
      <c r="FB306" s="775">
        <v>0</v>
      </c>
      <c r="FD306" s="775"/>
      <c r="FF306" s="775"/>
      <c r="FH306" s="775"/>
      <c r="FJ306" s="775">
        <f t="shared" ref="FJ306:FJ312" si="1027">FF306+FH306</f>
        <v>0</v>
      </c>
      <c r="FL306" s="775"/>
      <c r="FN306" s="775"/>
      <c r="FP306" s="775">
        <f t="shared" ref="FP306:FP312" si="1028">FL306+FN306</f>
        <v>0</v>
      </c>
      <c r="FR306" s="775"/>
      <c r="FT306" s="775"/>
      <c r="FV306" s="775">
        <f t="shared" ref="FV306:FV312" si="1029">FR306+FT306</f>
        <v>0</v>
      </c>
      <c r="FX306" s="971"/>
      <c r="FY306" s="968"/>
      <c r="FZ306" s="971"/>
      <c r="GA306" s="968"/>
      <c r="GB306" s="971">
        <f t="shared" ref="GB306:GB312" si="1030">FX306+FZ306</f>
        <v>0</v>
      </c>
      <c r="GC306" s="968"/>
      <c r="GD306" s="971"/>
      <c r="GE306" s="968"/>
      <c r="GF306" s="971"/>
      <c r="GG306" s="968"/>
      <c r="GH306" s="971">
        <v>0</v>
      </c>
      <c r="GK306" s="761">
        <f t="shared" ref="GK306:GK312" si="1031">O306+U306+AA306+AG306+AO306+AU306+BA306+BG306+BM306+BU306+CH306+CN306+CT306+DF306+DZ306+EH306+EN306+ET306+EZ306+FJ306+FP306+FV306</f>
        <v>965436</v>
      </c>
      <c r="GM306" s="761"/>
    </row>
    <row r="307" spans="2:195">
      <c r="B307" s="848"/>
      <c r="D307" s="848" t="s">
        <v>674</v>
      </c>
      <c r="E307" s="847"/>
      <c r="J307" s="758">
        <v>50</v>
      </c>
      <c r="K307" s="775"/>
      <c r="M307" s="775"/>
      <c r="O307" s="775">
        <f t="shared" si="1005"/>
        <v>0</v>
      </c>
      <c r="Q307" s="775"/>
      <c r="S307" s="775"/>
      <c r="U307" s="775">
        <f t="shared" si="1006"/>
        <v>0</v>
      </c>
      <c r="W307" s="775"/>
      <c r="Y307" s="775"/>
      <c r="AA307" s="775">
        <f t="shared" si="1007"/>
        <v>0</v>
      </c>
      <c r="AC307" s="775"/>
      <c r="AE307" s="775"/>
      <c r="AG307" s="775">
        <f t="shared" si="1008"/>
        <v>0</v>
      </c>
      <c r="AI307" s="775">
        <v>4426856</v>
      </c>
      <c r="AK307" s="970">
        <v>0</v>
      </c>
      <c r="AM307" s="775"/>
      <c r="AO307" s="775">
        <f t="shared" si="1009"/>
        <v>4426856</v>
      </c>
      <c r="AQ307" s="775"/>
      <c r="AS307" s="775"/>
      <c r="AU307" s="775">
        <f t="shared" si="1010"/>
        <v>0</v>
      </c>
      <c r="AW307" s="775"/>
      <c r="AY307" s="775"/>
      <c r="BA307" s="775">
        <f t="shared" si="1011"/>
        <v>0</v>
      </c>
      <c r="BC307" s="775"/>
      <c r="BE307" s="775"/>
      <c r="BG307" s="775">
        <f t="shared" si="1012"/>
        <v>0</v>
      </c>
      <c r="BI307" s="775"/>
      <c r="BK307" s="775"/>
      <c r="BM307" s="775">
        <f t="shared" si="1013"/>
        <v>0</v>
      </c>
      <c r="BO307" s="775"/>
      <c r="BQ307" s="970"/>
      <c r="BS307" s="775"/>
      <c r="BU307" s="775">
        <f t="shared" si="1014"/>
        <v>0</v>
      </c>
      <c r="BW307" s="775"/>
      <c r="BZ307" s="970"/>
      <c r="CB307" s="775"/>
      <c r="CD307" s="970"/>
      <c r="CF307" s="775"/>
      <c r="CH307" s="775">
        <f t="shared" si="1015"/>
        <v>0</v>
      </c>
      <c r="CJ307" s="775"/>
      <c r="CL307" s="775"/>
      <c r="CN307" s="775">
        <f t="shared" si="1016"/>
        <v>0</v>
      </c>
      <c r="CP307" s="775">
        <v>276099</v>
      </c>
      <c r="CR307" s="775"/>
      <c r="CT307" s="775">
        <f t="shared" si="1017"/>
        <v>276099</v>
      </c>
      <c r="CV307" s="971"/>
      <c r="CW307" s="968"/>
      <c r="CX307" s="971"/>
      <c r="CY307" s="968"/>
      <c r="CZ307" s="971">
        <f t="shared" si="1018"/>
        <v>0</v>
      </c>
      <c r="DB307" s="775"/>
      <c r="DD307" s="775"/>
      <c r="DF307" s="775">
        <f t="shared" si="1019"/>
        <v>0</v>
      </c>
      <c r="DH307" s="971"/>
      <c r="DI307" s="968"/>
      <c r="DJ307" s="971"/>
      <c r="DK307" s="968"/>
      <c r="DL307" s="971">
        <f t="shared" si="1020"/>
        <v>0</v>
      </c>
      <c r="DN307" s="971"/>
      <c r="DO307" s="968"/>
      <c r="DP307" s="971"/>
      <c r="DQ307" s="968"/>
      <c r="DR307" s="971">
        <f t="shared" si="1021"/>
        <v>0</v>
      </c>
      <c r="DT307" s="775"/>
      <c r="DV307" s="971">
        <v>0</v>
      </c>
      <c r="DX307" s="775"/>
      <c r="DZ307" s="775">
        <f t="shared" si="1022"/>
        <v>0</v>
      </c>
      <c r="EB307" s="775">
        <v>727565</v>
      </c>
      <c r="ED307" s="972">
        <v>0</v>
      </c>
      <c r="EF307" s="775"/>
      <c r="EH307" s="775">
        <f t="shared" si="1023"/>
        <v>727565</v>
      </c>
      <c r="EJ307" s="775">
        <v>366792</v>
      </c>
      <c r="EL307" s="775"/>
      <c r="EN307" s="775">
        <f t="shared" si="1024"/>
        <v>366792</v>
      </c>
      <c r="EP307" s="775">
        <v>3529449</v>
      </c>
      <c r="ER307" s="775"/>
      <c r="ET307" s="775">
        <f t="shared" si="1025"/>
        <v>3529449</v>
      </c>
      <c r="EV307" s="775"/>
      <c r="EX307" s="775"/>
      <c r="EZ307" s="775">
        <f t="shared" si="1026"/>
        <v>0</v>
      </c>
      <c r="FB307" s="775">
        <v>0</v>
      </c>
      <c r="FD307" s="775"/>
      <c r="FF307" s="775"/>
      <c r="FH307" s="775"/>
      <c r="FJ307" s="775">
        <f t="shared" si="1027"/>
        <v>0</v>
      </c>
      <c r="FL307" s="775">
        <v>558512</v>
      </c>
      <c r="FN307" s="775"/>
      <c r="FP307" s="775">
        <f t="shared" si="1028"/>
        <v>558512</v>
      </c>
      <c r="FR307" s="775">
        <v>412356</v>
      </c>
      <c r="FT307" s="775"/>
      <c r="FV307" s="775">
        <f t="shared" si="1029"/>
        <v>412356</v>
      </c>
      <c r="FX307" s="971"/>
      <c r="FY307" s="968"/>
      <c r="FZ307" s="971"/>
      <c r="GA307" s="968"/>
      <c r="GB307" s="971">
        <f t="shared" si="1030"/>
        <v>0</v>
      </c>
      <c r="GC307" s="968"/>
      <c r="GD307" s="971"/>
      <c r="GE307" s="968"/>
      <c r="GF307" s="971"/>
      <c r="GG307" s="968"/>
      <c r="GH307" s="971">
        <v>0</v>
      </c>
      <c r="GK307" s="761">
        <f t="shared" si="1031"/>
        <v>10297629</v>
      </c>
      <c r="GM307" s="761"/>
    </row>
    <row r="308" spans="2:195">
      <c r="B308" s="848"/>
      <c r="D308" s="848" t="s">
        <v>675</v>
      </c>
      <c r="E308" s="847"/>
      <c r="J308" s="758">
        <v>51</v>
      </c>
      <c r="K308" s="775"/>
      <c r="M308" s="775"/>
      <c r="O308" s="775">
        <f t="shared" si="1005"/>
        <v>0</v>
      </c>
      <c r="Q308" s="775"/>
      <c r="S308" s="775"/>
      <c r="U308" s="775">
        <f t="shared" si="1006"/>
        <v>0</v>
      </c>
      <c r="W308" s="775"/>
      <c r="Y308" s="775"/>
      <c r="AA308" s="775">
        <f t="shared" si="1007"/>
        <v>0</v>
      </c>
      <c r="AC308" s="775"/>
      <c r="AE308" s="775"/>
      <c r="AG308" s="775">
        <f t="shared" si="1008"/>
        <v>0</v>
      </c>
      <c r="AI308" s="775"/>
      <c r="AK308" s="970">
        <v>0</v>
      </c>
      <c r="AM308" s="775"/>
      <c r="AO308" s="775">
        <f t="shared" si="1009"/>
        <v>0</v>
      </c>
      <c r="AQ308" s="775"/>
      <c r="AS308" s="775"/>
      <c r="AU308" s="775">
        <f t="shared" si="1010"/>
        <v>0</v>
      </c>
      <c r="AW308" s="775"/>
      <c r="AY308" s="775"/>
      <c r="BA308" s="775">
        <f t="shared" si="1011"/>
        <v>0</v>
      </c>
      <c r="BC308" s="775"/>
      <c r="BE308" s="775"/>
      <c r="BG308" s="775">
        <f t="shared" si="1012"/>
        <v>0</v>
      </c>
      <c r="BI308" s="775"/>
      <c r="BK308" s="775"/>
      <c r="BM308" s="775">
        <f t="shared" si="1013"/>
        <v>0</v>
      </c>
      <c r="BO308" s="775"/>
      <c r="BQ308" s="970"/>
      <c r="BS308" s="775"/>
      <c r="BU308" s="775">
        <f t="shared" si="1014"/>
        <v>0</v>
      </c>
      <c r="BW308" s="775"/>
      <c r="BZ308" s="970"/>
      <c r="CB308" s="775"/>
      <c r="CD308" s="970"/>
      <c r="CF308" s="775"/>
      <c r="CH308" s="775">
        <f t="shared" si="1015"/>
        <v>0</v>
      </c>
      <c r="CJ308" s="775"/>
      <c r="CL308" s="775"/>
      <c r="CN308" s="775">
        <f t="shared" si="1016"/>
        <v>0</v>
      </c>
      <c r="CP308" s="775">
        <v>16194</v>
      </c>
      <c r="CR308" s="775"/>
      <c r="CT308" s="775">
        <f t="shared" si="1017"/>
        <v>16194</v>
      </c>
      <c r="CV308" s="971"/>
      <c r="CW308" s="968"/>
      <c r="CX308" s="971"/>
      <c r="CY308" s="968"/>
      <c r="CZ308" s="971">
        <f t="shared" si="1018"/>
        <v>0</v>
      </c>
      <c r="DB308" s="775"/>
      <c r="DD308" s="775"/>
      <c r="DF308" s="775">
        <f t="shared" si="1019"/>
        <v>0</v>
      </c>
      <c r="DH308" s="971"/>
      <c r="DI308" s="968"/>
      <c r="DJ308" s="971"/>
      <c r="DK308" s="968"/>
      <c r="DL308" s="971">
        <f t="shared" si="1020"/>
        <v>0</v>
      </c>
      <c r="DN308" s="971"/>
      <c r="DO308" s="968"/>
      <c r="DP308" s="971"/>
      <c r="DQ308" s="968"/>
      <c r="DR308" s="971">
        <f t="shared" si="1021"/>
        <v>0</v>
      </c>
      <c r="DT308" s="775"/>
      <c r="DV308" s="971">
        <v>0</v>
      </c>
      <c r="DX308" s="775"/>
      <c r="DZ308" s="775">
        <f t="shared" si="1022"/>
        <v>0</v>
      </c>
      <c r="EB308" s="775"/>
      <c r="ED308" s="972">
        <v>0</v>
      </c>
      <c r="EF308" s="775"/>
      <c r="EH308" s="775">
        <f t="shared" si="1023"/>
        <v>0</v>
      </c>
      <c r="EJ308" s="775"/>
      <c r="EL308" s="775"/>
      <c r="EN308" s="775">
        <f t="shared" si="1024"/>
        <v>0</v>
      </c>
      <c r="EP308" s="775"/>
      <c r="ER308" s="775"/>
      <c r="ET308" s="775">
        <f t="shared" si="1025"/>
        <v>0</v>
      </c>
      <c r="EV308" s="775">
        <v>40167257</v>
      </c>
      <c r="EX308" s="775"/>
      <c r="EZ308" s="775">
        <f t="shared" si="1026"/>
        <v>40167257</v>
      </c>
      <c r="FB308" s="775">
        <v>0</v>
      </c>
      <c r="FD308" s="775"/>
      <c r="FF308" s="775"/>
      <c r="FH308" s="775"/>
      <c r="FJ308" s="775">
        <f t="shared" si="1027"/>
        <v>0</v>
      </c>
      <c r="FL308" s="775">
        <v>4833</v>
      </c>
      <c r="FN308" s="775"/>
      <c r="FP308" s="775">
        <f t="shared" si="1028"/>
        <v>4833</v>
      </c>
      <c r="FR308" s="775"/>
      <c r="FT308" s="775"/>
      <c r="FV308" s="775">
        <f t="shared" si="1029"/>
        <v>0</v>
      </c>
      <c r="FX308" s="971"/>
      <c r="FY308" s="968"/>
      <c r="FZ308" s="971"/>
      <c r="GA308" s="968"/>
      <c r="GB308" s="971">
        <f t="shared" si="1030"/>
        <v>0</v>
      </c>
      <c r="GC308" s="968"/>
      <c r="GD308" s="971"/>
      <c r="GE308" s="968"/>
      <c r="GF308" s="971"/>
      <c r="GG308" s="968"/>
      <c r="GH308" s="971">
        <v>0</v>
      </c>
      <c r="GK308" s="761">
        <f t="shared" si="1031"/>
        <v>40188284</v>
      </c>
      <c r="GM308" s="761"/>
    </row>
    <row r="309" spans="2:195">
      <c r="B309" s="848"/>
      <c r="D309" s="848" t="s">
        <v>466</v>
      </c>
      <c r="E309" s="847"/>
      <c r="J309" s="770">
        <v>52</v>
      </c>
      <c r="K309" s="775"/>
      <c r="M309" s="775"/>
      <c r="O309" s="775">
        <f t="shared" si="1005"/>
        <v>0</v>
      </c>
      <c r="Q309" s="775"/>
      <c r="S309" s="775"/>
      <c r="U309" s="775">
        <f t="shared" si="1006"/>
        <v>0</v>
      </c>
      <c r="W309" s="775"/>
      <c r="Y309" s="775"/>
      <c r="AA309" s="775">
        <f t="shared" si="1007"/>
        <v>0</v>
      </c>
      <c r="AC309" s="775"/>
      <c r="AE309" s="775"/>
      <c r="AG309" s="775">
        <f t="shared" si="1008"/>
        <v>0</v>
      </c>
      <c r="AI309" s="775"/>
      <c r="AK309" s="970">
        <v>0</v>
      </c>
      <c r="AM309" s="775"/>
      <c r="AO309" s="775">
        <f t="shared" si="1009"/>
        <v>0</v>
      </c>
      <c r="AQ309" s="775"/>
      <c r="AS309" s="775"/>
      <c r="AU309" s="775">
        <f t="shared" si="1010"/>
        <v>0</v>
      </c>
      <c r="AW309" s="775"/>
      <c r="AY309" s="775"/>
      <c r="BA309" s="775">
        <f t="shared" si="1011"/>
        <v>0</v>
      </c>
      <c r="BC309" s="775"/>
      <c r="BE309" s="775"/>
      <c r="BG309" s="775">
        <f t="shared" si="1012"/>
        <v>0</v>
      </c>
      <c r="BI309" s="775"/>
      <c r="BK309" s="775"/>
      <c r="BM309" s="775">
        <f t="shared" si="1013"/>
        <v>0</v>
      </c>
      <c r="BO309" s="775"/>
      <c r="BQ309" s="970"/>
      <c r="BS309" s="775"/>
      <c r="BU309" s="775">
        <f t="shared" si="1014"/>
        <v>0</v>
      </c>
      <c r="BW309" s="775"/>
      <c r="BZ309" s="970"/>
      <c r="CB309" s="775"/>
      <c r="CD309" s="970"/>
      <c r="CF309" s="775"/>
      <c r="CH309" s="775">
        <f t="shared" si="1015"/>
        <v>0</v>
      </c>
      <c r="CJ309" s="775"/>
      <c r="CL309" s="775"/>
      <c r="CN309" s="775">
        <f t="shared" si="1016"/>
        <v>0</v>
      </c>
      <c r="CP309" s="775"/>
      <c r="CR309" s="775"/>
      <c r="CT309" s="775">
        <f t="shared" si="1017"/>
        <v>0</v>
      </c>
      <c r="CV309" s="971"/>
      <c r="CW309" s="968"/>
      <c r="CX309" s="971"/>
      <c r="CY309" s="968"/>
      <c r="CZ309" s="971">
        <f t="shared" si="1018"/>
        <v>0</v>
      </c>
      <c r="DB309" s="775"/>
      <c r="DD309" s="775"/>
      <c r="DF309" s="775">
        <f t="shared" si="1019"/>
        <v>0</v>
      </c>
      <c r="DH309" s="971"/>
      <c r="DI309" s="968"/>
      <c r="DJ309" s="971"/>
      <c r="DK309" s="968"/>
      <c r="DL309" s="971">
        <f t="shared" si="1020"/>
        <v>0</v>
      </c>
      <c r="DN309" s="971"/>
      <c r="DO309" s="968"/>
      <c r="DP309" s="971"/>
      <c r="DQ309" s="968"/>
      <c r="DR309" s="971">
        <f t="shared" si="1021"/>
        <v>0</v>
      </c>
      <c r="DT309" s="775"/>
      <c r="DV309" s="971">
        <v>0</v>
      </c>
      <c r="DX309" s="775"/>
      <c r="DZ309" s="775">
        <f t="shared" si="1022"/>
        <v>0</v>
      </c>
      <c r="EB309" s="775"/>
      <c r="ED309" s="972">
        <v>0</v>
      </c>
      <c r="EF309" s="775"/>
      <c r="EH309" s="775">
        <f t="shared" si="1023"/>
        <v>0</v>
      </c>
      <c r="EJ309" s="775"/>
      <c r="EL309" s="775"/>
      <c r="EN309" s="775">
        <f t="shared" si="1024"/>
        <v>0</v>
      </c>
      <c r="EP309" s="775"/>
      <c r="ER309" s="775"/>
      <c r="ET309" s="775">
        <f t="shared" si="1025"/>
        <v>0</v>
      </c>
      <c r="EV309" s="775"/>
      <c r="EX309" s="775"/>
      <c r="EZ309" s="775">
        <f t="shared" si="1026"/>
        <v>0</v>
      </c>
      <c r="FB309" s="775">
        <v>0</v>
      </c>
      <c r="FD309" s="775"/>
      <c r="FF309" s="775"/>
      <c r="FH309" s="775"/>
      <c r="FJ309" s="775">
        <f t="shared" si="1027"/>
        <v>0</v>
      </c>
      <c r="FL309" s="775"/>
      <c r="FN309" s="775"/>
      <c r="FP309" s="775">
        <f t="shared" si="1028"/>
        <v>0</v>
      </c>
      <c r="FR309" s="775"/>
      <c r="FT309" s="775"/>
      <c r="FV309" s="775">
        <f t="shared" si="1029"/>
        <v>0</v>
      </c>
      <c r="FX309" s="971"/>
      <c r="FY309" s="968"/>
      <c r="FZ309" s="971"/>
      <c r="GA309" s="968"/>
      <c r="GB309" s="971">
        <f t="shared" si="1030"/>
        <v>0</v>
      </c>
      <c r="GC309" s="968"/>
      <c r="GD309" s="971"/>
      <c r="GE309" s="968"/>
      <c r="GF309" s="971"/>
      <c r="GG309" s="968"/>
      <c r="GH309" s="971">
        <v>0</v>
      </c>
      <c r="GK309" s="761">
        <f t="shared" si="1031"/>
        <v>0</v>
      </c>
      <c r="GM309" s="761"/>
    </row>
    <row r="310" spans="2:195">
      <c r="B310" s="848"/>
      <c r="D310" s="848" t="s">
        <v>1416</v>
      </c>
      <c r="E310" s="847"/>
      <c r="J310" s="758">
        <v>53</v>
      </c>
      <c r="K310" s="775"/>
      <c r="M310" s="775"/>
      <c r="O310" s="775">
        <f t="shared" si="1005"/>
        <v>0</v>
      </c>
      <c r="Q310" s="775"/>
      <c r="S310" s="775"/>
      <c r="U310" s="775">
        <f t="shared" si="1006"/>
        <v>0</v>
      </c>
      <c r="W310" s="775"/>
      <c r="Y310" s="775"/>
      <c r="AA310" s="775">
        <f t="shared" si="1007"/>
        <v>0</v>
      </c>
      <c r="AC310" s="775"/>
      <c r="AE310" s="775"/>
      <c r="AG310" s="775">
        <f t="shared" si="1008"/>
        <v>0</v>
      </c>
      <c r="AI310" s="775"/>
      <c r="AK310" s="970">
        <v>0</v>
      </c>
      <c r="AM310" s="775"/>
      <c r="AO310" s="775">
        <f t="shared" si="1009"/>
        <v>0</v>
      </c>
      <c r="AQ310" s="775"/>
      <c r="AS310" s="775"/>
      <c r="AU310" s="775">
        <f t="shared" si="1010"/>
        <v>0</v>
      </c>
      <c r="AW310" s="775"/>
      <c r="AY310" s="775"/>
      <c r="BA310" s="775">
        <f t="shared" si="1011"/>
        <v>0</v>
      </c>
      <c r="BC310" s="775"/>
      <c r="BE310" s="775"/>
      <c r="BG310" s="775">
        <f t="shared" si="1012"/>
        <v>0</v>
      </c>
      <c r="BI310" s="775"/>
      <c r="BK310" s="775"/>
      <c r="BM310" s="775">
        <f t="shared" si="1013"/>
        <v>0</v>
      </c>
      <c r="BO310" s="775"/>
      <c r="BQ310" s="970"/>
      <c r="BS310" s="775"/>
      <c r="BU310" s="775">
        <f t="shared" si="1014"/>
        <v>0</v>
      </c>
      <c r="BW310" s="775"/>
      <c r="BZ310" s="970"/>
      <c r="CB310" s="775"/>
      <c r="CD310" s="970"/>
      <c r="CF310" s="775"/>
      <c r="CH310" s="775">
        <f t="shared" si="1015"/>
        <v>0</v>
      </c>
      <c r="CJ310" s="775"/>
      <c r="CL310" s="775"/>
      <c r="CN310" s="775">
        <f t="shared" si="1016"/>
        <v>0</v>
      </c>
      <c r="CP310" s="775"/>
      <c r="CR310" s="775"/>
      <c r="CT310" s="775">
        <f t="shared" si="1017"/>
        <v>0</v>
      </c>
      <c r="CV310" s="971"/>
      <c r="CW310" s="968"/>
      <c r="CX310" s="971"/>
      <c r="CY310" s="968"/>
      <c r="CZ310" s="971">
        <f t="shared" si="1018"/>
        <v>0</v>
      </c>
      <c r="DB310" s="775"/>
      <c r="DD310" s="775"/>
      <c r="DF310" s="775">
        <f t="shared" si="1019"/>
        <v>0</v>
      </c>
      <c r="DH310" s="971"/>
      <c r="DI310" s="968"/>
      <c r="DJ310" s="971"/>
      <c r="DK310" s="968"/>
      <c r="DL310" s="971">
        <f t="shared" si="1020"/>
        <v>0</v>
      </c>
      <c r="DN310" s="971"/>
      <c r="DO310" s="968"/>
      <c r="DP310" s="971"/>
      <c r="DQ310" s="968"/>
      <c r="DR310" s="971">
        <f t="shared" si="1021"/>
        <v>0</v>
      </c>
      <c r="DT310" s="775"/>
      <c r="DV310" s="971">
        <v>0</v>
      </c>
      <c r="DX310" s="775"/>
      <c r="DZ310" s="775">
        <f t="shared" si="1022"/>
        <v>0</v>
      </c>
      <c r="EB310" s="775"/>
      <c r="ED310" s="972">
        <v>0</v>
      </c>
      <c r="EF310" s="775"/>
      <c r="EH310" s="775">
        <f t="shared" si="1023"/>
        <v>0</v>
      </c>
      <c r="EJ310" s="775"/>
      <c r="EL310" s="775"/>
      <c r="EN310" s="775">
        <f t="shared" si="1024"/>
        <v>0</v>
      </c>
      <c r="EP310" s="775"/>
      <c r="ER310" s="775"/>
      <c r="ET310" s="775">
        <f t="shared" si="1025"/>
        <v>0</v>
      </c>
      <c r="EV310" s="775">
        <v>184621790</v>
      </c>
      <c r="EX310" s="775"/>
      <c r="EZ310" s="775">
        <f t="shared" si="1026"/>
        <v>184621790</v>
      </c>
      <c r="FB310" s="775">
        <v>0</v>
      </c>
      <c r="FD310" s="775"/>
      <c r="FF310" s="775"/>
      <c r="FH310" s="775"/>
      <c r="FJ310" s="775">
        <f t="shared" si="1027"/>
        <v>0</v>
      </c>
      <c r="FL310" s="775"/>
      <c r="FN310" s="775"/>
      <c r="FP310" s="775">
        <f t="shared" si="1028"/>
        <v>0</v>
      </c>
      <c r="FR310" s="775"/>
      <c r="FT310" s="775"/>
      <c r="FV310" s="775">
        <f t="shared" si="1029"/>
        <v>0</v>
      </c>
      <c r="FX310" s="971"/>
      <c r="FY310" s="968"/>
      <c r="FZ310" s="971"/>
      <c r="GA310" s="968"/>
      <c r="GB310" s="971">
        <f t="shared" si="1030"/>
        <v>0</v>
      </c>
      <c r="GC310" s="968"/>
      <c r="GD310" s="971"/>
      <c r="GE310" s="968"/>
      <c r="GF310" s="971"/>
      <c r="GG310" s="968"/>
      <c r="GH310" s="971">
        <v>0</v>
      </c>
      <c r="GK310" s="761">
        <f t="shared" si="1031"/>
        <v>184621790</v>
      </c>
      <c r="GM310" s="761"/>
    </row>
    <row r="311" spans="2:195">
      <c r="B311" s="848"/>
      <c r="D311" s="847" t="s">
        <v>1733</v>
      </c>
      <c r="E311" s="847"/>
      <c r="I311" s="850" t="s">
        <v>1734</v>
      </c>
      <c r="J311" s="770">
        <v>54</v>
      </c>
      <c r="K311" s="775"/>
      <c r="M311" s="775"/>
      <c r="O311" s="775">
        <f t="shared" si="1005"/>
        <v>0</v>
      </c>
      <c r="Q311" s="775"/>
      <c r="S311" s="775"/>
      <c r="U311" s="775">
        <f t="shared" si="1006"/>
        <v>0</v>
      </c>
      <c r="W311" s="775"/>
      <c r="Y311" s="775"/>
      <c r="AA311" s="775">
        <f t="shared" si="1007"/>
        <v>0</v>
      </c>
      <c r="AC311" s="775"/>
      <c r="AE311" s="775"/>
      <c r="AG311" s="775">
        <f t="shared" si="1008"/>
        <v>0</v>
      </c>
      <c r="AI311" s="775"/>
      <c r="AK311" s="970">
        <v>0</v>
      </c>
      <c r="AM311" s="775"/>
      <c r="AO311" s="775">
        <f t="shared" si="1009"/>
        <v>0</v>
      </c>
      <c r="AQ311" s="775"/>
      <c r="AS311" s="775"/>
      <c r="AU311" s="775">
        <f t="shared" si="1010"/>
        <v>0</v>
      </c>
      <c r="AW311" s="775"/>
      <c r="AY311" s="775"/>
      <c r="BA311" s="775">
        <f t="shared" si="1011"/>
        <v>0</v>
      </c>
      <c r="BC311" s="775"/>
      <c r="BE311" s="775"/>
      <c r="BG311" s="775">
        <f t="shared" si="1012"/>
        <v>0</v>
      </c>
      <c r="BI311" s="775"/>
      <c r="BK311" s="775"/>
      <c r="BM311" s="775">
        <f t="shared" si="1013"/>
        <v>0</v>
      </c>
      <c r="BO311" s="775"/>
      <c r="BQ311" s="970"/>
      <c r="BS311" s="775"/>
      <c r="BU311" s="775">
        <f t="shared" si="1014"/>
        <v>0</v>
      </c>
      <c r="BW311" s="775"/>
      <c r="BZ311" s="970"/>
      <c r="CB311" s="775"/>
      <c r="CD311" s="970"/>
      <c r="CF311" s="775"/>
      <c r="CH311" s="775">
        <f t="shared" si="1015"/>
        <v>0</v>
      </c>
      <c r="CJ311" s="775"/>
      <c r="CL311" s="775"/>
      <c r="CN311" s="775">
        <f t="shared" si="1016"/>
        <v>0</v>
      </c>
      <c r="CP311" s="775"/>
      <c r="CR311" s="775"/>
      <c r="CT311" s="775">
        <f t="shared" si="1017"/>
        <v>0</v>
      </c>
      <c r="CV311" s="971"/>
      <c r="CW311" s="968"/>
      <c r="CX311" s="971"/>
      <c r="CY311" s="968"/>
      <c r="CZ311" s="971">
        <f t="shared" si="1018"/>
        <v>0</v>
      </c>
      <c r="DB311" s="775"/>
      <c r="DD311" s="775"/>
      <c r="DF311" s="775">
        <f t="shared" si="1019"/>
        <v>0</v>
      </c>
      <c r="DH311" s="971"/>
      <c r="DI311" s="968"/>
      <c r="DJ311" s="971"/>
      <c r="DK311" s="968"/>
      <c r="DL311" s="971">
        <f t="shared" si="1020"/>
        <v>0</v>
      </c>
      <c r="DN311" s="971"/>
      <c r="DO311" s="968"/>
      <c r="DP311" s="971"/>
      <c r="DQ311" s="968"/>
      <c r="DR311" s="971">
        <f t="shared" si="1021"/>
        <v>0</v>
      </c>
      <c r="DT311" s="775"/>
      <c r="DV311" s="971">
        <v>0</v>
      </c>
      <c r="DX311" s="775"/>
      <c r="DZ311" s="775">
        <f t="shared" si="1022"/>
        <v>0</v>
      </c>
      <c r="EB311" s="775"/>
      <c r="ED311" s="972">
        <v>0</v>
      </c>
      <c r="EF311" s="775"/>
      <c r="EH311" s="775">
        <f t="shared" si="1023"/>
        <v>0</v>
      </c>
      <c r="EJ311" s="775"/>
      <c r="EL311" s="775"/>
      <c r="EN311" s="775">
        <f t="shared" si="1024"/>
        <v>0</v>
      </c>
      <c r="EP311" s="775"/>
      <c r="ER311" s="775"/>
      <c r="ET311" s="775">
        <f t="shared" si="1025"/>
        <v>0</v>
      </c>
      <c r="EV311" s="775"/>
      <c r="EX311" s="775"/>
      <c r="EZ311" s="775">
        <f t="shared" si="1026"/>
        <v>0</v>
      </c>
      <c r="FB311" s="775">
        <v>0</v>
      </c>
      <c r="FD311" s="775"/>
      <c r="FF311" s="775"/>
      <c r="FH311" s="775"/>
      <c r="FJ311" s="775">
        <f t="shared" si="1027"/>
        <v>0</v>
      </c>
      <c r="FL311" s="775"/>
      <c r="FN311" s="775"/>
      <c r="FP311" s="775">
        <f t="shared" si="1028"/>
        <v>0</v>
      </c>
      <c r="FR311" s="775"/>
      <c r="FT311" s="775"/>
      <c r="FV311" s="775">
        <f t="shared" si="1029"/>
        <v>0</v>
      </c>
      <c r="FX311" s="971"/>
      <c r="FY311" s="968"/>
      <c r="FZ311" s="971"/>
      <c r="GA311" s="968"/>
      <c r="GB311" s="971">
        <f t="shared" si="1030"/>
        <v>0</v>
      </c>
      <c r="GC311" s="968"/>
      <c r="GD311" s="971"/>
      <c r="GE311" s="968"/>
      <c r="GF311" s="971"/>
      <c r="GG311" s="968"/>
      <c r="GH311" s="971">
        <v>0</v>
      </c>
      <c r="GK311" s="761">
        <f t="shared" si="1031"/>
        <v>0</v>
      </c>
      <c r="GM311" s="761"/>
    </row>
    <row r="312" spans="2:195">
      <c r="B312" s="848"/>
      <c r="D312" s="847" t="s">
        <v>1467</v>
      </c>
      <c r="E312" s="847"/>
      <c r="I312" s="780" t="s">
        <v>1471</v>
      </c>
      <c r="J312" s="758">
        <v>55</v>
      </c>
      <c r="K312" s="775"/>
      <c r="M312" s="775"/>
      <c r="O312" s="775">
        <f t="shared" si="1005"/>
        <v>0</v>
      </c>
      <c r="Q312" s="775"/>
      <c r="S312" s="775"/>
      <c r="U312" s="775">
        <f t="shared" si="1006"/>
        <v>0</v>
      </c>
      <c r="W312" s="775"/>
      <c r="Y312" s="775"/>
      <c r="AA312" s="775">
        <f t="shared" si="1007"/>
        <v>0</v>
      </c>
      <c r="AC312" s="775"/>
      <c r="AE312" s="775"/>
      <c r="AG312" s="775">
        <f t="shared" si="1008"/>
        <v>0</v>
      </c>
      <c r="AI312" s="775"/>
      <c r="AK312" s="970">
        <v>0</v>
      </c>
      <c r="AM312" s="775"/>
      <c r="AO312" s="775">
        <f t="shared" si="1009"/>
        <v>0</v>
      </c>
      <c r="AQ312" s="775"/>
      <c r="AS312" s="775"/>
      <c r="AU312" s="775">
        <f t="shared" si="1010"/>
        <v>0</v>
      </c>
      <c r="AW312" s="775"/>
      <c r="AY312" s="775"/>
      <c r="BA312" s="775">
        <f t="shared" si="1011"/>
        <v>0</v>
      </c>
      <c r="BC312" s="775"/>
      <c r="BE312" s="775"/>
      <c r="BG312" s="775">
        <f t="shared" si="1012"/>
        <v>0</v>
      </c>
      <c r="BI312" s="775"/>
      <c r="BK312" s="775"/>
      <c r="BM312" s="775">
        <f t="shared" si="1013"/>
        <v>0</v>
      </c>
      <c r="BO312" s="775"/>
      <c r="BQ312" s="970"/>
      <c r="BS312" s="775"/>
      <c r="BU312" s="775">
        <f t="shared" si="1014"/>
        <v>0</v>
      </c>
      <c r="BW312" s="775"/>
      <c r="BZ312" s="970"/>
      <c r="CB312" s="775"/>
      <c r="CD312" s="970"/>
      <c r="CF312" s="775"/>
      <c r="CH312" s="775">
        <f t="shared" si="1015"/>
        <v>0</v>
      </c>
      <c r="CJ312" s="775"/>
      <c r="CL312" s="775"/>
      <c r="CN312" s="775">
        <f t="shared" si="1016"/>
        <v>0</v>
      </c>
      <c r="CP312" s="775"/>
      <c r="CR312" s="775"/>
      <c r="CT312" s="775">
        <f t="shared" si="1017"/>
        <v>0</v>
      </c>
      <c r="CV312" s="971"/>
      <c r="CW312" s="968"/>
      <c r="CX312" s="971"/>
      <c r="CY312" s="968"/>
      <c r="CZ312" s="971">
        <f t="shared" si="1018"/>
        <v>0</v>
      </c>
      <c r="DB312" s="775"/>
      <c r="DD312" s="775"/>
      <c r="DF312" s="775">
        <f t="shared" si="1019"/>
        <v>0</v>
      </c>
      <c r="DH312" s="971"/>
      <c r="DI312" s="968"/>
      <c r="DJ312" s="971"/>
      <c r="DK312" s="968"/>
      <c r="DL312" s="971">
        <f t="shared" si="1020"/>
        <v>0</v>
      </c>
      <c r="DN312" s="971"/>
      <c r="DO312" s="968"/>
      <c r="DP312" s="971"/>
      <c r="DQ312" s="968"/>
      <c r="DR312" s="971">
        <f t="shared" si="1021"/>
        <v>0</v>
      </c>
      <c r="DT312" s="775"/>
      <c r="DV312" s="971">
        <v>0</v>
      </c>
      <c r="DX312" s="775"/>
      <c r="DZ312" s="775">
        <f t="shared" si="1022"/>
        <v>0</v>
      </c>
      <c r="EB312" s="775">
        <v>39906</v>
      </c>
      <c r="ED312" s="972">
        <v>0</v>
      </c>
      <c r="EF312" s="775"/>
      <c r="EH312" s="775">
        <f t="shared" si="1023"/>
        <v>39906</v>
      </c>
      <c r="EJ312" s="775"/>
      <c r="EL312" s="775"/>
      <c r="EN312" s="775">
        <f t="shared" si="1024"/>
        <v>0</v>
      </c>
      <c r="EP312" s="775">
        <v>17360948</v>
      </c>
      <c r="ER312" s="775"/>
      <c r="ET312" s="775">
        <f t="shared" si="1025"/>
        <v>17360948</v>
      </c>
      <c r="EV312" s="775">
        <v>1029846</v>
      </c>
      <c r="EX312" s="775"/>
      <c r="EZ312" s="775">
        <f t="shared" si="1026"/>
        <v>1029846</v>
      </c>
      <c r="FB312" s="775">
        <v>0</v>
      </c>
      <c r="FD312" s="775"/>
      <c r="FF312" s="775"/>
      <c r="FH312" s="775"/>
      <c r="FJ312" s="775">
        <f t="shared" si="1027"/>
        <v>0</v>
      </c>
      <c r="FL312" s="775">
        <v>20219</v>
      </c>
      <c r="FN312" s="775"/>
      <c r="FP312" s="775">
        <f t="shared" si="1028"/>
        <v>20219</v>
      </c>
      <c r="FR312" s="775"/>
      <c r="FT312" s="775"/>
      <c r="FV312" s="775">
        <f t="shared" si="1029"/>
        <v>0</v>
      </c>
      <c r="FX312" s="971"/>
      <c r="FY312" s="968"/>
      <c r="FZ312" s="971"/>
      <c r="GA312" s="968"/>
      <c r="GB312" s="971">
        <f t="shared" si="1030"/>
        <v>0</v>
      </c>
      <c r="GC312" s="968"/>
      <c r="GD312" s="971"/>
      <c r="GE312" s="968"/>
      <c r="GF312" s="971"/>
      <c r="GG312" s="968"/>
      <c r="GH312" s="971">
        <v>0</v>
      </c>
      <c r="GK312" s="761">
        <f t="shared" si="1031"/>
        <v>18450919</v>
      </c>
      <c r="GM312" s="761"/>
    </row>
    <row r="313" spans="2:195" ht="3" customHeight="1">
      <c r="B313" s="848"/>
      <c r="D313" s="848"/>
      <c r="E313" s="847"/>
      <c r="J313" s="758">
        <v>56</v>
      </c>
      <c r="K313" s="777"/>
      <c r="M313" s="777"/>
      <c r="O313" s="777"/>
      <c r="Q313" s="777"/>
      <c r="S313" s="777"/>
      <c r="U313" s="777"/>
      <c r="W313" s="777"/>
      <c r="Y313" s="777"/>
      <c r="AA313" s="777"/>
      <c r="AC313" s="777"/>
      <c r="AE313" s="777"/>
      <c r="AG313" s="777"/>
      <c r="AI313" s="777"/>
      <c r="AK313" s="777"/>
      <c r="AM313" s="777"/>
      <c r="AO313" s="777"/>
      <c r="AQ313" s="777"/>
      <c r="AS313" s="777"/>
      <c r="AU313" s="777"/>
      <c r="AW313" s="777"/>
      <c r="AY313" s="777"/>
      <c r="BA313" s="777"/>
      <c r="BC313" s="777"/>
      <c r="BE313" s="777"/>
      <c r="BG313" s="777"/>
      <c r="BI313" s="777"/>
      <c r="BK313" s="777"/>
      <c r="BM313" s="777"/>
      <c r="BO313" s="777"/>
      <c r="BQ313" s="777"/>
      <c r="BS313" s="777"/>
      <c r="BU313" s="777"/>
      <c r="BW313" s="777"/>
      <c r="BZ313" s="777"/>
      <c r="CB313" s="777"/>
      <c r="CD313" s="777"/>
      <c r="CF313" s="777"/>
      <c r="CH313" s="777"/>
      <c r="CJ313" s="777"/>
      <c r="CL313" s="777"/>
      <c r="CN313" s="777"/>
      <c r="CP313" s="777"/>
      <c r="CR313" s="777"/>
      <c r="CT313" s="777"/>
      <c r="CV313" s="777"/>
      <c r="CX313" s="777"/>
      <c r="CZ313" s="777"/>
      <c r="DB313" s="777"/>
      <c r="DD313" s="777"/>
      <c r="DF313" s="777"/>
      <c r="DH313" s="777"/>
      <c r="DJ313" s="777"/>
      <c r="DL313" s="777"/>
      <c r="DN313" s="777"/>
      <c r="DP313" s="777"/>
      <c r="DR313" s="777"/>
      <c r="DT313" s="777"/>
      <c r="DV313" s="777"/>
      <c r="DX313" s="777"/>
      <c r="DZ313" s="777"/>
      <c r="EB313" s="777"/>
      <c r="ED313" s="777"/>
      <c r="EF313" s="777"/>
      <c r="EH313" s="777"/>
      <c r="EJ313" s="777"/>
      <c r="EL313" s="777"/>
      <c r="EN313" s="777"/>
      <c r="EP313" s="777"/>
      <c r="ER313" s="777"/>
      <c r="ET313" s="777"/>
      <c r="EV313" s="777"/>
      <c r="EX313" s="777"/>
      <c r="EZ313" s="777"/>
      <c r="FB313" s="777"/>
      <c r="FD313" s="777"/>
      <c r="FF313" s="777"/>
      <c r="FH313" s="777"/>
      <c r="FJ313" s="777"/>
      <c r="FL313" s="777"/>
      <c r="FN313" s="777"/>
      <c r="FP313" s="777"/>
      <c r="FR313" s="777"/>
      <c r="FT313" s="777"/>
      <c r="FV313" s="777"/>
      <c r="FX313" s="777"/>
      <c r="FZ313" s="777"/>
      <c r="GB313" s="777"/>
      <c r="GD313" s="777"/>
      <c r="GF313" s="777"/>
      <c r="GH313" s="777"/>
      <c r="GK313" s="761"/>
    </row>
    <row r="314" spans="2:195">
      <c r="C314" s="849"/>
      <c r="D314" s="849" t="s">
        <v>1429</v>
      </c>
      <c r="E314" s="848"/>
      <c r="J314" s="770">
        <v>57</v>
      </c>
      <c r="K314" s="777">
        <f>SUM(K305:K313)</f>
        <v>0</v>
      </c>
      <c r="M314" s="777">
        <f>SUM(M305:M313)</f>
        <v>0</v>
      </c>
      <c r="O314" s="777">
        <f>SUM(O305:O313)</f>
        <v>0</v>
      </c>
      <c r="Q314" s="777">
        <f>SUM(Q305:Q313)</f>
        <v>0</v>
      </c>
      <c r="S314" s="777">
        <f>SUM(S305:S313)</f>
        <v>0</v>
      </c>
      <c r="U314" s="777">
        <f>SUM(U305:U313)</f>
        <v>0</v>
      </c>
      <c r="W314" s="777">
        <f>SUM(W305:W313)</f>
        <v>0</v>
      </c>
      <c r="Y314" s="777">
        <f>SUM(Y305:Y313)</f>
        <v>0</v>
      </c>
      <c r="AA314" s="777">
        <f>SUM(AA305:AA313)</f>
        <v>0</v>
      </c>
      <c r="AC314" s="777">
        <f>SUM(AC305:AC313)</f>
        <v>0</v>
      </c>
      <c r="AE314" s="777">
        <f>SUM(AE305:AE313)</f>
        <v>0</v>
      </c>
      <c r="AG314" s="777">
        <f>SUM(AG305:AG313)</f>
        <v>0</v>
      </c>
      <c r="AI314" s="777">
        <f>SUM(AI305:AI313)</f>
        <v>4426856</v>
      </c>
      <c r="AK314" s="974">
        <f>SUM(AK305:AK313)</f>
        <v>0</v>
      </c>
      <c r="AM314" s="777">
        <f>SUM(AM305:AM313)</f>
        <v>0</v>
      </c>
      <c r="AO314" s="777">
        <f>SUM(AO305:AO313)</f>
        <v>4426856</v>
      </c>
      <c r="AQ314" s="777">
        <f>SUM(AQ305:AQ313)</f>
        <v>0</v>
      </c>
      <c r="AS314" s="777">
        <f>SUM(AS305:AS313)</f>
        <v>0</v>
      </c>
      <c r="AU314" s="777">
        <f>SUM(AU305:AU313)</f>
        <v>0</v>
      </c>
      <c r="AW314" s="777">
        <f>SUM(AW305:AW313)</f>
        <v>0</v>
      </c>
      <c r="AY314" s="777">
        <f>SUM(AY305:AY313)</f>
        <v>0</v>
      </c>
      <c r="BA314" s="777">
        <f>SUM(BA305:BA313)</f>
        <v>0</v>
      </c>
      <c r="BC314" s="777">
        <f>SUM(BC305:BC313)</f>
        <v>0</v>
      </c>
      <c r="BE314" s="777">
        <f>SUM(BE305:BE313)</f>
        <v>0</v>
      </c>
      <c r="BG314" s="777">
        <f>SUM(BG305:BG313)</f>
        <v>0</v>
      </c>
      <c r="BI314" s="777">
        <f>SUM(BI305:BI313)</f>
        <v>0</v>
      </c>
      <c r="BK314" s="777">
        <f>SUM(BK305:BK313)</f>
        <v>0</v>
      </c>
      <c r="BM314" s="777">
        <f>SUM(BM305:BM313)</f>
        <v>0</v>
      </c>
      <c r="BO314" s="777">
        <f>SUM(BO305:BO313)</f>
        <v>0</v>
      </c>
      <c r="BQ314" s="974">
        <f>SUM(BQ305:BQ313)</f>
        <v>0</v>
      </c>
      <c r="BS314" s="777">
        <f>SUM(BS305:BS313)</f>
        <v>0</v>
      </c>
      <c r="BU314" s="777">
        <f>SUM(BU305:BU313)</f>
        <v>0</v>
      </c>
      <c r="BW314" s="777">
        <f>SUM(BW305:BW313)</f>
        <v>0</v>
      </c>
      <c r="BZ314" s="974">
        <f>SUM(BZ305:BZ313)</f>
        <v>0</v>
      </c>
      <c r="CB314" s="777">
        <f>SUM(CB305:CB313)</f>
        <v>0</v>
      </c>
      <c r="CD314" s="974">
        <f>SUM(CD305:CD313)</f>
        <v>0</v>
      </c>
      <c r="CF314" s="777">
        <f>SUM(CF305:CF313)</f>
        <v>0</v>
      </c>
      <c r="CH314" s="777">
        <f>SUM(CH305:CH313)</f>
        <v>0</v>
      </c>
      <c r="CJ314" s="777">
        <f>SUM(CJ305:CJ313)</f>
        <v>0</v>
      </c>
      <c r="CL314" s="777">
        <f>SUM(CL305:CL313)</f>
        <v>0</v>
      </c>
      <c r="CN314" s="777">
        <f>SUM(CN305:CN313)</f>
        <v>0</v>
      </c>
      <c r="CP314" s="777">
        <f>SUM(CP305:CP313)</f>
        <v>292293</v>
      </c>
      <c r="CR314" s="777">
        <f>SUM(CR305:CR313)</f>
        <v>0</v>
      </c>
      <c r="CT314" s="777">
        <f>SUM(CT305:CT313)</f>
        <v>292293</v>
      </c>
      <c r="CV314" s="975">
        <f>SUM(CV305:CV313)</f>
        <v>0</v>
      </c>
      <c r="CW314" s="968"/>
      <c r="CX314" s="975">
        <f>SUM(CX305:CX313)</f>
        <v>0</v>
      </c>
      <c r="CY314" s="968"/>
      <c r="CZ314" s="975">
        <f>SUM(CZ305:CZ313)</f>
        <v>0</v>
      </c>
      <c r="DB314" s="777">
        <f>SUM(DB305:DB313)</f>
        <v>0</v>
      </c>
      <c r="DD314" s="777">
        <f>SUM(DD305:DD313)</f>
        <v>0</v>
      </c>
      <c r="DF314" s="777">
        <f>SUM(DF305:DF313)</f>
        <v>0</v>
      </c>
      <c r="DH314" s="975">
        <f>SUM(DH305:DH313)</f>
        <v>0</v>
      </c>
      <c r="DI314" s="968"/>
      <c r="DJ314" s="975">
        <f>SUM(DJ305:DJ313)</f>
        <v>0</v>
      </c>
      <c r="DK314" s="968"/>
      <c r="DL314" s="975">
        <f>SUM(DL305:DL313)</f>
        <v>0</v>
      </c>
      <c r="DN314" s="975">
        <f>SUM(DN305:DN313)</f>
        <v>0</v>
      </c>
      <c r="DO314" s="968"/>
      <c r="DP314" s="975">
        <f>SUM(DP305:DP313)</f>
        <v>0</v>
      </c>
      <c r="DQ314" s="968"/>
      <c r="DR314" s="975">
        <f>SUM(DR305:DR313)</f>
        <v>0</v>
      </c>
      <c r="DT314" s="777">
        <f>SUM(DT305:DT313)</f>
        <v>0</v>
      </c>
      <c r="DV314" s="975">
        <f>SUM(DV305:DV313)</f>
        <v>0</v>
      </c>
      <c r="DX314" s="777">
        <f>SUM(DX305:DX313)</f>
        <v>0</v>
      </c>
      <c r="DZ314" s="777">
        <f>SUM(DZ305:DZ313)</f>
        <v>0</v>
      </c>
      <c r="EB314" s="777">
        <f>SUM(EB305:EB313)</f>
        <v>767471</v>
      </c>
      <c r="ED314" s="976">
        <f>SUM(ED305:ED313)</f>
        <v>0</v>
      </c>
      <c r="EF314" s="777">
        <f>SUM(EF305:EF313)</f>
        <v>0</v>
      </c>
      <c r="EH314" s="777">
        <f>SUM(EH305:EH313)</f>
        <v>767471</v>
      </c>
      <c r="EJ314" s="777">
        <f>SUM(EJ305:EJ313)</f>
        <v>366792</v>
      </c>
      <c r="EL314" s="777">
        <f>SUM(EL305:EL313)</f>
        <v>0</v>
      </c>
      <c r="EN314" s="777">
        <f>SUM(EN305:EN313)</f>
        <v>366792</v>
      </c>
      <c r="EP314" s="777">
        <f>SUM(EP305:EP313)</f>
        <v>20890397</v>
      </c>
      <c r="ER314" s="777">
        <f>SUM(ER305:ER313)</f>
        <v>0</v>
      </c>
      <c r="ET314" s="777">
        <f>SUM(ET305:ET313)</f>
        <v>20890397</v>
      </c>
      <c r="EV314" s="777">
        <f>SUM(EV305:EV313)</f>
        <v>226784329</v>
      </c>
      <c r="EX314" s="777">
        <f>SUM(EX305:EX313)</f>
        <v>0</v>
      </c>
      <c r="EZ314" s="777">
        <f>SUM(EZ305:EZ313)</f>
        <v>226784329</v>
      </c>
      <c r="FB314" s="777">
        <f>SUM(FB305:FB313)</f>
        <v>0</v>
      </c>
      <c r="FD314" s="777">
        <f>SUM(FD305:FD313)</f>
        <v>0</v>
      </c>
      <c r="FF314" s="777">
        <f>SUM(FF305:FF313)</f>
        <v>0</v>
      </c>
      <c r="FH314" s="777">
        <f>SUM(FH305:FH313)</f>
        <v>0</v>
      </c>
      <c r="FJ314" s="777">
        <f>SUM(FJ305:FJ313)</f>
        <v>0</v>
      </c>
      <c r="FL314" s="777">
        <f>SUM(FL305:FL313)</f>
        <v>583564</v>
      </c>
      <c r="FN314" s="777">
        <f>SUM(FN305:FN313)</f>
        <v>0</v>
      </c>
      <c r="FP314" s="777">
        <f>SUM(FP305:FP313)</f>
        <v>583564</v>
      </c>
      <c r="FR314" s="777">
        <f>SUM(FR305:FR313)</f>
        <v>412356</v>
      </c>
      <c r="FT314" s="777">
        <f>SUM(FT305:FT313)</f>
        <v>0</v>
      </c>
      <c r="FV314" s="777">
        <f>SUM(FV305:FV313)</f>
        <v>412356</v>
      </c>
      <c r="FX314" s="975">
        <f>SUM(FX305:FX313)</f>
        <v>0</v>
      </c>
      <c r="FY314" s="968"/>
      <c r="FZ314" s="975">
        <f>SUM(FZ305:FZ313)</f>
        <v>0</v>
      </c>
      <c r="GA314" s="968"/>
      <c r="GB314" s="975">
        <f>SUM(GB305:GB313)</f>
        <v>0</v>
      </c>
      <c r="GC314" s="968"/>
      <c r="GD314" s="975">
        <v>0</v>
      </c>
      <c r="GE314" s="968"/>
      <c r="GF314" s="975">
        <v>0</v>
      </c>
      <c r="GG314" s="968"/>
      <c r="GH314" s="975">
        <v>0</v>
      </c>
      <c r="GK314" s="761">
        <f>O314+U314+AA314+AG314+AO314+AU314+BA314+BG314+BM314+BU314+CH314+CN314+CT314+DF314+DZ314+EH314+EN314+ET314+EZ314+FJ314+FP314+FV314</f>
        <v>254524058</v>
      </c>
      <c r="GM314" s="761"/>
    </row>
    <row r="315" spans="2:195">
      <c r="B315" s="848"/>
      <c r="D315" s="848"/>
      <c r="E315" s="847"/>
      <c r="J315" s="758">
        <v>58</v>
      </c>
      <c r="K315" s="785"/>
      <c r="M315" s="785"/>
      <c r="O315" s="785"/>
      <c r="Q315" s="785"/>
      <c r="S315" s="785"/>
      <c r="U315" s="785"/>
      <c r="W315" s="785"/>
      <c r="Y315" s="785"/>
      <c r="AA315" s="785"/>
      <c r="AC315" s="785"/>
      <c r="AE315" s="785"/>
      <c r="AG315" s="785"/>
      <c r="AI315" s="785"/>
      <c r="AK315" s="785"/>
      <c r="AM315" s="785"/>
      <c r="AO315" s="785"/>
      <c r="AQ315" s="785"/>
      <c r="AS315" s="785"/>
      <c r="AU315" s="785"/>
      <c r="AW315" s="785"/>
      <c r="AY315" s="785"/>
      <c r="BA315" s="785"/>
      <c r="BC315" s="785"/>
      <c r="BE315" s="785"/>
      <c r="BG315" s="785"/>
      <c r="BI315" s="785"/>
      <c r="BK315" s="785"/>
      <c r="BM315" s="785"/>
      <c r="BO315" s="785"/>
      <c r="BQ315" s="785"/>
      <c r="BS315" s="785"/>
      <c r="BU315" s="785"/>
      <c r="BW315" s="785"/>
      <c r="BZ315" s="785"/>
      <c r="CB315" s="785"/>
      <c r="CD315" s="785"/>
      <c r="CF315" s="785"/>
      <c r="CH315" s="785"/>
      <c r="CJ315" s="785"/>
      <c r="CL315" s="785"/>
      <c r="CN315" s="785"/>
      <c r="CP315" s="785"/>
      <c r="CR315" s="785"/>
      <c r="CT315" s="785"/>
      <c r="CV315" s="785"/>
      <c r="CX315" s="785"/>
      <c r="CZ315" s="785"/>
      <c r="DB315" s="785"/>
      <c r="DD315" s="785"/>
      <c r="DF315" s="785"/>
      <c r="DH315" s="785"/>
      <c r="DJ315" s="785"/>
      <c r="DL315" s="785"/>
      <c r="DN315" s="785"/>
      <c r="DP315" s="785"/>
      <c r="DR315" s="785"/>
      <c r="DT315" s="785"/>
      <c r="DV315" s="785"/>
      <c r="DX315" s="785"/>
      <c r="DZ315" s="785"/>
      <c r="EB315" s="785"/>
      <c r="ED315" s="785"/>
      <c r="EF315" s="785"/>
      <c r="EH315" s="785"/>
      <c r="EJ315" s="785"/>
      <c r="EL315" s="785"/>
      <c r="EN315" s="785"/>
      <c r="EP315" s="785"/>
      <c r="ER315" s="785"/>
      <c r="ET315" s="785"/>
      <c r="EV315" s="785"/>
      <c r="EX315" s="785"/>
      <c r="EZ315" s="785"/>
      <c r="FB315" s="785"/>
      <c r="FD315" s="785"/>
      <c r="FF315" s="785"/>
      <c r="FH315" s="785"/>
      <c r="FJ315" s="785"/>
      <c r="FL315" s="785"/>
      <c r="FN315" s="785"/>
      <c r="FP315" s="785"/>
      <c r="FR315" s="785"/>
      <c r="FT315" s="785"/>
      <c r="FV315" s="785"/>
      <c r="FX315" s="785"/>
      <c r="FZ315" s="785"/>
      <c r="GB315" s="785"/>
      <c r="GD315" s="785"/>
      <c r="GF315" s="785"/>
      <c r="GH315" s="785"/>
      <c r="GK315" s="761"/>
    </row>
    <row r="316" spans="2:195">
      <c r="C316" s="849"/>
      <c r="D316" s="849" t="s">
        <v>1428</v>
      </c>
      <c r="E316" s="848"/>
      <c r="J316" s="770">
        <v>59</v>
      </c>
      <c r="K316" s="777">
        <f>K302+K314</f>
        <v>0</v>
      </c>
      <c r="M316" s="777">
        <f t="shared" ref="M316:BX316" si="1032">M302+M314</f>
        <v>0</v>
      </c>
      <c r="O316" s="777">
        <f t="shared" si="1032"/>
        <v>0</v>
      </c>
      <c r="Q316" s="777">
        <f t="shared" si="1032"/>
        <v>547282</v>
      </c>
      <c r="S316" s="777">
        <f t="shared" si="1032"/>
        <v>0</v>
      </c>
      <c r="U316" s="777">
        <f t="shared" si="1032"/>
        <v>547282</v>
      </c>
      <c r="W316" s="777">
        <f t="shared" si="1032"/>
        <v>0</v>
      </c>
      <c r="Y316" s="777">
        <f t="shared" si="1032"/>
        <v>0</v>
      </c>
      <c r="AA316" s="777">
        <f t="shared" si="1032"/>
        <v>0</v>
      </c>
      <c r="AC316" s="777">
        <f t="shared" si="1032"/>
        <v>0</v>
      </c>
      <c r="AE316" s="777">
        <f t="shared" si="1032"/>
        <v>0</v>
      </c>
      <c r="AG316" s="777">
        <f t="shared" si="1032"/>
        <v>0</v>
      </c>
      <c r="AI316" s="777">
        <f t="shared" si="1032"/>
        <v>7295510</v>
      </c>
      <c r="AJ316" s="761">
        <f t="shared" si="1032"/>
        <v>0</v>
      </c>
      <c r="AK316" s="974">
        <f t="shared" si="1032"/>
        <v>0</v>
      </c>
      <c r="AM316" s="777">
        <f t="shared" si="1032"/>
        <v>0</v>
      </c>
      <c r="AO316" s="777">
        <f t="shared" si="1032"/>
        <v>7295510</v>
      </c>
      <c r="AQ316" s="777">
        <f t="shared" si="1032"/>
        <v>0</v>
      </c>
      <c r="AS316" s="777">
        <f t="shared" si="1032"/>
        <v>0</v>
      </c>
      <c r="AU316" s="777">
        <f t="shared" si="1032"/>
        <v>0</v>
      </c>
      <c r="AW316" s="777">
        <f t="shared" si="1032"/>
        <v>0</v>
      </c>
      <c r="AY316" s="777">
        <f t="shared" si="1032"/>
        <v>0</v>
      </c>
      <c r="BA316" s="777">
        <f t="shared" si="1032"/>
        <v>0</v>
      </c>
      <c r="BC316" s="777">
        <f t="shared" si="1032"/>
        <v>1115728</v>
      </c>
      <c r="BE316" s="777">
        <f t="shared" si="1032"/>
        <v>0</v>
      </c>
      <c r="BG316" s="777">
        <f t="shared" si="1032"/>
        <v>1115728</v>
      </c>
      <c r="BI316" s="777">
        <f t="shared" si="1032"/>
        <v>0</v>
      </c>
      <c r="BK316" s="777">
        <f t="shared" si="1032"/>
        <v>0</v>
      </c>
      <c r="BM316" s="777">
        <f t="shared" si="1032"/>
        <v>0</v>
      </c>
      <c r="BO316" s="777">
        <f t="shared" si="1032"/>
        <v>0</v>
      </c>
      <c r="BP316" s="758">
        <f t="shared" si="1032"/>
        <v>0</v>
      </c>
      <c r="BQ316" s="974">
        <f t="shared" si="1032"/>
        <v>0</v>
      </c>
      <c r="BS316" s="777">
        <f t="shared" si="1032"/>
        <v>0</v>
      </c>
      <c r="BU316" s="777">
        <f t="shared" si="1032"/>
        <v>0</v>
      </c>
      <c r="BW316" s="777">
        <f t="shared" si="1032"/>
        <v>428842</v>
      </c>
      <c r="BX316" s="758">
        <f t="shared" si="1032"/>
        <v>0</v>
      </c>
      <c r="BY316" s="758">
        <f t="shared" ref="BY316:EH316" si="1033">BY302+BY314</f>
        <v>0</v>
      </c>
      <c r="BZ316" s="974">
        <f t="shared" si="1033"/>
        <v>0</v>
      </c>
      <c r="CA316" s="758">
        <f t="shared" si="1033"/>
        <v>0</v>
      </c>
      <c r="CB316" s="777">
        <f t="shared" si="1033"/>
        <v>0</v>
      </c>
      <c r="CC316" s="758">
        <f t="shared" si="1033"/>
        <v>0</v>
      </c>
      <c r="CD316" s="974">
        <f t="shared" si="1033"/>
        <v>0</v>
      </c>
      <c r="CF316" s="777">
        <f t="shared" si="1033"/>
        <v>0</v>
      </c>
      <c r="CH316" s="777">
        <f t="shared" si="1033"/>
        <v>428842</v>
      </c>
      <c r="CJ316" s="777">
        <f t="shared" si="1033"/>
        <v>0</v>
      </c>
      <c r="CL316" s="777">
        <f t="shared" si="1033"/>
        <v>0</v>
      </c>
      <c r="CN316" s="777">
        <f t="shared" si="1033"/>
        <v>0</v>
      </c>
      <c r="CP316" s="777">
        <f t="shared" si="1033"/>
        <v>312345</v>
      </c>
      <c r="CR316" s="777">
        <f t="shared" si="1033"/>
        <v>0</v>
      </c>
      <c r="CT316" s="777">
        <f t="shared" si="1033"/>
        <v>312345</v>
      </c>
      <c r="CV316" s="975">
        <f t="shared" si="1033"/>
        <v>0</v>
      </c>
      <c r="CW316" s="968"/>
      <c r="CX316" s="975">
        <f t="shared" si="1033"/>
        <v>0</v>
      </c>
      <c r="CY316" s="968"/>
      <c r="CZ316" s="975">
        <f t="shared" si="1033"/>
        <v>0</v>
      </c>
      <c r="DB316" s="777">
        <f t="shared" si="1033"/>
        <v>1242983000</v>
      </c>
      <c r="DD316" s="777">
        <f t="shared" si="1033"/>
        <v>0</v>
      </c>
      <c r="DF316" s="777">
        <f t="shared" si="1033"/>
        <v>1242983000</v>
      </c>
      <c r="DH316" s="975">
        <f t="shared" si="1033"/>
        <v>0</v>
      </c>
      <c r="DI316" s="968"/>
      <c r="DJ316" s="975">
        <f t="shared" si="1033"/>
        <v>0</v>
      </c>
      <c r="DK316" s="968"/>
      <c r="DL316" s="975">
        <f t="shared" si="1033"/>
        <v>0</v>
      </c>
      <c r="DN316" s="975">
        <f t="shared" si="1033"/>
        <v>0</v>
      </c>
      <c r="DO316" s="968"/>
      <c r="DP316" s="975">
        <f t="shared" si="1033"/>
        <v>0</v>
      </c>
      <c r="DQ316" s="968"/>
      <c r="DR316" s="975">
        <f t="shared" si="1033"/>
        <v>0</v>
      </c>
      <c r="DT316" s="777">
        <f t="shared" si="1033"/>
        <v>547792</v>
      </c>
      <c r="DU316" s="758">
        <f t="shared" si="1033"/>
        <v>0</v>
      </c>
      <c r="DV316" s="975">
        <f t="shared" si="1033"/>
        <v>0</v>
      </c>
      <c r="DX316" s="777">
        <f t="shared" si="1033"/>
        <v>0</v>
      </c>
      <c r="DZ316" s="777">
        <f t="shared" si="1033"/>
        <v>547792</v>
      </c>
      <c r="EB316" s="777">
        <f t="shared" si="1033"/>
        <v>60036818</v>
      </c>
      <c r="EC316" s="758">
        <f t="shared" si="1033"/>
        <v>0</v>
      </c>
      <c r="ED316" s="976">
        <f t="shared" si="1033"/>
        <v>0</v>
      </c>
      <c r="EF316" s="777">
        <f t="shared" si="1033"/>
        <v>0</v>
      </c>
      <c r="EH316" s="777">
        <f t="shared" si="1033"/>
        <v>60036818</v>
      </c>
      <c r="EJ316" s="777">
        <f t="shared" ref="EJ316:GB316" si="1034">EJ302+EJ314</f>
        <v>619426</v>
      </c>
      <c r="EL316" s="777">
        <f t="shared" si="1034"/>
        <v>0</v>
      </c>
      <c r="EN316" s="777">
        <f t="shared" si="1034"/>
        <v>619426</v>
      </c>
      <c r="EP316" s="777">
        <f t="shared" si="1034"/>
        <v>69246833</v>
      </c>
      <c r="ER316" s="777">
        <f t="shared" si="1034"/>
        <v>0</v>
      </c>
      <c r="ET316" s="777">
        <f t="shared" si="1034"/>
        <v>69246833</v>
      </c>
      <c r="EV316" s="777">
        <f t="shared" si="1034"/>
        <v>1258078949</v>
      </c>
      <c r="EX316" s="777">
        <f t="shared" si="1034"/>
        <v>0</v>
      </c>
      <c r="EZ316" s="777">
        <f t="shared" si="1034"/>
        <v>1258078949</v>
      </c>
      <c r="FB316" s="777">
        <f t="shared" si="1034"/>
        <v>0</v>
      </c>
      <c r="FC316" s="758">
        <f t="shared" si="1034"/>
        <v>0</v>
      </c>
      <c r="FD316" s="777">
        <f t="shared" si="1034"/>
        <v>0</v>
      </c>
      <c r="FE316" s="758">
        <f t="shared" si="1034"/>
        <v>0</v>
      </c>
      <c r="FF316" s="777">
        <f t="shared" si="1034"/>
        <v>0</v>
      </c>
      <c r="FH316" s="777">
        <f t="shared" si="1034"/>
        <v>0</v>
      </c>
      <c r="FJ316" s="777">
        <f t="shared" si="1034"/>
        <v>0</v>
      </c>
      <c r="FL316" s="777">
        <f t="shared" si="1034"/>
        <v>819628</v>
      </c>
      <c r="FN316" s="777">
        <f t="shared" si="1034"/>
        <v>0</v>
      </c>
      <c r="FP316" s="777">
        <f t="shared" si="1034"/>
        <v>819628</v>
      </c>
      <c r="FR316" s="777">
        <f t="shared" si="1034"/>
        <v>5037030</v>
      </c>
      <c r="FT316" s="777">
        <f t="shared" si="1034"/>
        <v>0</v>
      </c>
      <c r="FV316" s="777">
        <f t="shared" si="1034"/>
        <v>5037030</v>
      </c>
      <c r="FX316" s="975">
        <f t="shared" si="1034"/>
        <v>0</v>
      </c>
      <c r="FY316" s="968"/>
      <c r="FZ316" s="975">
        <f t="shared" si="1034"/>
        <v>0</v>
      </c>
      <c r="GA316" s="968"/>
      <c r="GB316" s="975">
        <f t="shared" si="1034"/>
        <v>0</v>
      </c>
      <c r="GC316" s="968"/>
      <c r="GD316" s="975">
        <v>0</v>
      </c>
      <c r="GE316" s="968"/>
      <c r="GF316" s="975">
        <v>0</v>
      </c>
      <c r="GG316" s="968"/>
      <c r="GH316" s="975">
        <v>0</v>
      </c>
      <c r="GK316" s="761">
        <f>O316+U316+AA316+AG316+AO316+AU316+BA316+BG316+BM316+BU316+CH316+CN316+CT316+DF316+DZ316+EH316+EN316+ET316+EZ316+FJ316+FP316+FV316</f>
        <v>2647069183</v>
      </c>
      <c r="GM316" s="761"/>
    </row>
    <row r="317" spans="2:195">
      <c r="B317" s="848"/>
      <c r="D317" s="848"/>
      <c r="E317" s="847"/>
      <c r="J317" s="758">
        <v>60</v>
      </c>
      <c r="K317" s="785"/>
      <c r="M317" s="785"/>
      <c r="O317" s="785"/>
      <c r="Q317" s="785"/>
      <c r="S317" s="785"/>
      <c r="U317" s="785"/>
      <c r="W317" s="785"/>
      <c r="Y317" s="785"/>
      <c r="AA317" s="785"/>
      <c r="AC317" s="785"/>
      <c r="AE317" s="785"/>
      <c r="AG317" s="785"/>
      <c r="AI317" s="785"/>
      <c r="AK317" s="785"/>
      <c r="AM317" s="785"/>
      <c r="AO317" s="785"/>
      <c r="AQ317" s="785"/>
      <c r="AS317" s="785"/>
      <c r="AU317" s="785"/>
      <c r="AW317" s="785"/>
      <c r="AY317" s="785"/>
      <c r="BA317" s="785"/>
      <c r="BC317" s="785"/>
      <c r="BE317" s="785"/>
      <c r="BG317" s="785"/>
      <c r="BI317" s="785"/>
      <c r="BK317" s="785"/>
      <c r="BM317" s="785"/>
      <c r="BO317" s="785"/>
      <c r="BQ317" s="785"/>
      <c r="BS317" s="785"/>
      <c r="BU317" s="785"/>
      <c r="BW317" s="785"/>
      <c r="BZ317" s="785"/>
      <c r="CB317" s="785"/>
      <c r="CD317" s="785"/>
      <c r="CF317" s="785"/>
      <c r="CH317" s="785"/>
      <c r="CJ317" s="785"/>
      <c r="CL317" s="785"/>
      <c r="CN317" s="785"/>
      <c r="CP317" s="785"/>
      <c r="CR317" s="785"/>
      <c r="CT317" s="785"/>
      <c r="CV317" s="785"/>
      <c r="CX317" s="785"/>
      <c r="CZ317" s="785"/>
      <c r="DB317" s="785"/>
      <c r="DD317" s="785"/>
      <c r="DF317" s="785"/>
      <c r="DH317" s="785"/>
      <c r="DJ317" s="785"/>
      <c r="DL317" s="785"/>
      <c r="DN317" s="785"/>
      <c r="DP317" s="785"/>
      <c r="DR317" s="785"/>
      <c r="DT317" s="785"/>
      <c r="DV317" s="785"/>
      <c r="DX317" s="785"/>
      <c r="DZ317" s="785"/>
      <c r="EB317" s="785"/>
      <c r="ED317" s="785"/>
      <c r="EF317" s="785"/>
      <c r="EH317" s="785"/>
      <c r="EJ317" s="785"/>
      <c r="EL317" s="785"/>
      <c r="EN317" s="785"/>
      <c r="EP317" s="785"/>
      <c r="ER317" s="785"/>
      <c r="ET317" s="785"/>
      <c r="EV317" s="785"/>
      <c r="EX317" s="785"/>
      <c r="EZ317" s="785"/>
      <c r="FB317" s="785"/>
      <c r="FD317" s="785"/>
      <c r="FF317" s="785"/>
      <c r="FH317" s="785"/>
      <c r="FJ317" s="785"/>
      <c r="FL317" s="785"/>
      <c r="FN317" s="785"/>
      <c r="FP317" s="785"/>
      <c r="FR317" s="785"/>
      <c r="FT317" s="785"/>
      <c r="FV317" s="785"/>
      <c r="FX317" s="785"/>
      <c r="FZ317" s="785"/>
      <c r="GB317" s="785"/>
      <c r="GD317" s="785"/>
      <c r="GF317" s="785"/>
      <c r="GH317" s="785"/>
      <c r="GK317" s="761"/>
    </row>
    <row r="318" spans="2:195">
      <c r="B318" s="849"/>
      <c r="D318" s="849" t="s">
        <v>1390</v>
      </c>
      <c r="E318" s="848"/>
      <c r="J318" s="758">
        <v>61</v>
      </c>
      <c r="K318" s="785">
        <f>K289-K316</f>
        <v>0</v>
      </c>
      <c r="M318" s="785">
        <f>M289-M316</f>
        <v>0</v>
      </c>
      <c r="O318" s="785">
        <f>O289-O316</f>
        <v>0</v>
      </c>
      <c r="Q318" s="785">
        <f>Q289-Q316</f>
        <v>1893778</v>
      </c>
      <c r="S318" s="785">
        <f>S289-S316</f>
        <v>0</v>
      </c>
      <c r="U318" s="785">
        <f>U289-U316</f>
        <v>1893778</v>
      </c>
      <c r="W318" s="785">
        <f>W289-W316</f>
        <v>0</v>
      </c>
      <c r="Y318" s="785">
        <f>Y289-Y316</f>
        <v>0</v>
      </c>
      <c r="AA318" s="785">
        <f>AA289-AA316</f>
        <v>0</v>
      </c>
      <c r="AC318" s="785">
        <f>AC289-AC316</f>
        <v>0</v>
      </c>
      <c r="AE318" s="785">
        <f>AE289-AE316</f>
        <v>0</v>
      </c>
      <c r="AG318" s="785">
        <f>AG289-AG316</f>
        <v>0</v>
      </c>
      <c r="AI318" s="785">
        <f>AI289-AI316</f>
        <v>17970337</v>
      </c>
      <c r="AK318" s="987">
        <f>AK289-AK316</f>
        <v>0</v>
      </c>
      <c r="AM318" s="785">
        <f>AM289-AM316</f>
        <v>0</v>
      </c>
      <c r="AO318" s="785">
        <f>AO289-AO316</f>
        <v>17970337</v>
      </c>
      <c r="AQ318" s="785">
        <f>AQ289-AQ316</f>
        <v>0</v>
      </c>
      <c r="AS318" s="785">
        <f>AS289-AS316</f>
        <v>0</v>
      </c>
      <c r="AU318" s="785">
        <f>AU289-AU316</f>
        <v>0</v>
      </c>
      <c r="AW318" s="785">
        <f>AW289-AW316</f>
        <v>0</v>
      </c>
      <c r="AY318" s="785">
        <f>AY289-AY316</f>
        <v>0</v>
      </c>
      <c r="BA318" s="785">
        <f>BA289-BA316</f>
        <v>0</v>
      </c>
      <c r="BC318" s="785">
        <f>BC289-BC316</f>
        <v>474538</v>
      </c>
      <c r="BE318" s="785">
        <f>BE289-BE316</f>
        <v>0</v>
      </c>
      <c r="BG318" s="785">
        <f>BG289-BG316</f>
        <v>474538</v>
      </c>
      <c r="BI318" s="785">
        <f>BI289-BI316</f>
        <v>0</v>
      </c>
      <c r="BK318" s="785">
        <f>BK289-BK316</f>
        <v>0</v>
      </c>
      <c r="BM318" s="785">
        <f>BM289-BM316</f>
        <v>0</v>
      </c>
      <c r="BO318" s="785">
        <f>BO289-BO316</f>
        <v>163360</v>
      </c>
      <c r="BQ318" s="987">
        <f>BQ289-BQ316</f>
        <v>0</v>
      </c>
      <c r="BS318" s="785">
        <f>BS289-BS316</f>
        <v>0</v>
      </c>
      <c r="BU318" s="785">
        <f>BU289-BU316</f>
        <v>163360</v>
      </c>
      <c r="BW318" s="785">
        <f>BW289-BW316</f>
        <v>430400</v>
      </c>
      <c r="BZ318" s="987">
        <f>BZ289-BZ316</f>
        <v>0</v>
      </c>
      <c r="CB318" s="785">
        <f>CB289-CB316</f>
        <v>0</v>
      </c>
      <c r="CD318" s="987">
        <f>CD289-CD316</f>
        <v>0</v>
      </c>
      <c r="CF318" s="785">
        <f>CF289-CF316</f>
        <v>0</v>
      </c>
      <c r="CH318" s="785">
        <f>CH289-CH316</f>
        <v>430400</v>
      </c>
      <c r="CJ318" s="785">
        <f>CJ289-CJ316</f>
        <v>0</v>
      </c>
      <c r="CL318" s="785">
        <f>CL289-CL316</f>
        <v>0</v>
      </c>
      <c r="CN318" s="785">
        <f>CN289-CN316</f>
        <v>0</v>
      </c>
      <c r="CP318" s="785">
        <f>CP289-CP316</f>
        <v>401661</v>
      </c>
      <c r="CR318" s="785">
        <f>CR289-CR316</f>
        <v>0</v>
      </c>
      <c r="CT318" s="785">
        <f>CT289-CT316</f>
        <v>401661</v>
      </c>
      <c r="CV318" s="988">
        <f>CV289-CV316</f>
        <v>0</v>
      </c>
      <c r="CW318" s="968"/>
      <c r="CX318" s="988">
        <f>CX289-CX316</f>
        <v>0</v>
      </c>
      <c r="CY318" s="968"/>
      <c r="CZ318" s="988">
        <f>CZ289-CZ316</f>
        <v>0</v>
      </c>
      <c r="DB318" s="785">
        <f>DB289-DB316</f>
        <v>1307905000</v>
      </c>
      <c r="DD318" s="785">
        <f>DD289-DD316</f>
        <v>0</v>
      </c>
      <c r="DF318" s="785">
        <f>DF289-DF316</f>
        <v>1307905000</v>
      </c>
      <c r="DH318" s="988">
        <f>DH289-DH316</f>
        <v>0</v>
      </c>
      <c r="DI318" s="968"/>
      <c r="DJ318" s="988">
        <f>DJ289-DJ316</f>
        <v>0</v>
      </c>
      <c r="DK318" s="968"/>
      <c r="DL318" s="988">
        <f>DL289-DL316</f>
        <v>0</v>
      </c>
      <c r="DN318" s="988">
        <f>DN289-DN316</f>
        <v>0</v>
      </c>
      <c r="DO318" s="968"/>
      <c r="DP318" s="988">
        <f>DP289-DP316</f>
        <v>0</v>
      </c>
      <c r="DQ318" s="968"/>
      <c r="DR318" s="988">
        <f>DR289-DR316</f>
        <v>0</v>
      </c>
      <c r="DT318" s="785">
        <f>DT289-DT316</f>
        <v>212626</v>
      </c>
      <c r="DV318" s="988">
        <f>DV289-DV316</f>
        <v>0</v>
      </c>
      <c r="DX318" s="785">
        <f>DX289-DX316</f>
        <v>0</v>
      </c>
      <c r="DZ318" s="785">
        <f>DZ289-DZ316</f>
        <v>212626</v>
      </c>
      <c r="EB318" s="785">
        <f>EB289-EB316</f>
        <v>132818552</v>
      </c>
      <c r="ED318" s="989">
        <f>ED289-ED316</f>
        <v>0</v>
      </c>
      <c r="EF318" s="785">
        <f>EF289-EF316</f>
        <v>0</v>
      </c>
      <c r="EH318" s="785">
        <f>EH289-EH316</f>
        <v>132818552</v>
      </c>
      <c r="EJ318" s="785">
        <f>EJ289-EJ316</f>
        <v>1186245</v>
      </c>
      <c r="EL318" s="785">
        <f>EL289-EL316</f>
        <v>0</v>
      </c>
      <c r="EN318" s="785">
        <f>EN289-EN316</f>
        <v>1186245</v>
      </c>
      <c r="EP318" s="785">
        <f>EP289-EP316</f>
        <v>32454636</v>
      </c>
      <c r="ER318" s="785">
        <f>ER289-ER316</f>
        <v>0</v>
      </c>
      <c r="ET318" s="785">
        <f>ET289-ET316</f>
        <v>32454636</v>
      </c>
      <c r="EV318" s="785">
        <f>EV289-EV316</f>
        <v>5022218116</v>
      </c>
      <c r="EX318" s="785">
        <f>EX289-EX316</f>
        <v>0</v>
      </c>
      <c r="EZ318" s="785">
        <f>EZ289-EZ316</f>
        <v>5022218116</v>
      </c>
      <c r="FB318" s="785">
        <f>FB289-FB316</f>
        <v>0</v>
      </c>
      <c r="FD318" s="785">
        <f>FD289-FD316</f>
        <v>0</v>
      </c>
      <c r="FF318" s="785">
        <f>FF289-FF316</f>
        <v>0</v>
      </c>
      <c r="FH318" s="785">
        <f>FH289-FH316</f>
        <v>0</v>
      </c>
      <c r="FJ318" s="785">
        <f>FJ289-FJ316</f>
        <v>0</v>
      </c>
      <c r="FL318" s="785">
        <f>FL289-FL316</f>
        <v>203256</v>
      </c>
      <c r="FN318" s="785">
        <f>FN289-FN316</f>
        <v>0</v>
      </c>
      <c r="FP318" s="785">
        <f>FP289-FP316</f>
        <v>203256</v>
      </c>
      <c r="FR318" s="785">
        <f>FR289-FR316</f>
        <v>58473338</v>
      </c>
      <c r="FT318" s="785">
        <f>FT289-FT316</f>
        <v>0</v>
      </c>
      <c r="FV318" s="785">
        <f>FV289-FV316</f>
        <v>58473338</v>
      </c>
      <c r="FX318" s="988">
        <f>FX289-FX316</f>
        <v>0</v>
      </c>
      <c r="FY318" s="968"/>
      <c r="FZ318" s="988">
        <f>FZ289-FZ316</f>
        <v>0</v>
      </c>
      <c r="GA318" s="968"/>
      <c r="GB318" s="988">
        <f>GB289-GB316</f>
        <v>0</v>
      </c>
      <c r="GC318" s="968"/>
      <c r="GD318" s="988">
        <v>0</v>
      </c>
      <c r="GE318" s="968"/>
      <c r="GF318" s="988">
        <v>0</v>
      </c>
      <c r="GG318" s="968"/>
      <c r="GH318" s="988">
        <v>0</v>
      </c>
      <c r="GK318" s="761">
        <f>O318+U318+AA318+AG318+AO318+AU318+BA318+BG318+BM318+BU318+CH318+CN318+CT318+DF318+DZ318+EH318+EN318+ET318+EZ318+FJ318+FP318+FV318</f>
        <v>6576805843</v>
      </c>
      <c r="GM318" s="761"/>
    </row>
    <row r="319" spans="2:195" ht="12" thickBot="1">
      <c r="B319" s="849"/>
      <c r="D319" s="849"/>
      <c r="J319" s="770">
        <v>62</v>
      </c>
      <c r="BQ319" s="952"/>
      <c r="BW319" s="761"/>
      <c r="BZ319" s="952"/>
      <c r="CB319" s="761"/>
      <c r="CD319" s="952"/>
      <c r="CP319" s="761"/>
      <c r="CV319" s="977"/>
      <c r="CW319" s="968"/>
      <c r="CX319" s="977"/>
      <c r="CY319" s="968"/>
      <c r="CZ319" s="977"/>
      <c r="DB319" s="761"/>
      <c r="DH319" s="977"/>
      <c r="DI319" s="968"/>
      <c r="DJ319" s="977"/>
      <c r="DK319" s="968"/>
      <c r="DL319" s="977"/>
      <c r="DN319" s="977"/>
      <c r="DO319" s="968"/>
      <c r="DP319" s="977"/>
      <c r="DQ319" s="968"/>
      <c r="DR319" s="977"/>
      <c r="DT319" s="761"/>
      <c r="DV319" s="977"/>
      <c r="EB319" s="761"/>
      <c r="ED319" s="978"/>
      <c r="EJ319" s="761"/>
      <c r="EP319" s="761"/>
      <c r="EV319" s="761"/>
      <c r="FB319" s="761"/>
      <c r="FD319" s="761"/>
      <c r="FX319" s="977"/>
      <c r="FY319" s="968"/>
      <c r="FZ319" s="977"/>
      <c r="GA319" s="968"/>
      <c r="GB319" s="977"/>
      <c r="GC319" s="968"/>
      <c r="GD319" s="977"/>
      <c r="GE319" s="968"/>
      <c r="GF319" s="977"/>
      <c r="GG319" s="968"/>
      <c r="GH319" s="977"/>
    </row>
    <row r="320" spans="2:195" ht="12" thickBot="1">
      <c r="B320" s="849"/>
      <c r="D320" s="849" t="s">
        <v>172</v>
      </c>
      <c r="J320" s="758">
        <v>63</v>
      </c>
      <c r="K320" s="786">
        <f>K266+K318</f>
        <v>0</v>
      </c>
      <c r="M320" s="786">
        <f>M266+M318</f>
        <v>0</v>
      </c>
      <c r="O320" s="786">
        <f>O266+O318</f>
        <v>0</v>
      </c>
      <c r="Q320" s="786">
        <f>Q266+Q318</f>
        <v>8845429</v>
      </c>
      <c r="S320" s="786">
        <f>S266+S318</f>
        <v>0</v>
      </c>
      <c r="U320" s="786">
        <f>U266+U318</f>
        <v>8845429</v>
      </c>
      <c r="W320" s="786">
        <f>W266+W318</f>
        <v>0</v>
      </c>
      <c r="Y320" s="786">
        <f>Y266+Y318</f>
        <v>0</v>
      </c>
      <c r="AA320" s="786">
        <f>AA266+AA318</f>
        <v>0</v>
      </c>
      <c r="AC320" s="786">
        <f>AC266+AC318</f>
        <v>0</v>
      </c>
      <c r="AE320" s="786">
        <f>AE266+AE318</f>
        <v>0</v>
      </c>
      <c r="AG320" s="786">
        <f>AG266+AG318</f>
        <v>0</v>
      </c>
      <c r="AI320" s="786">
        <f>AI266+AI318</f>
        <v>17970337</v>
      </c>
      <c r="AK320" s="1001">
        <f>AK266+AK318</f>
        <v>0</v>
      </c>
      <c r="AM320" s="786">
        <f>AM266+AM318</f>
        <v>0</v>
      </c>
      <c r="AO320" s="786">
        <f>AO266+AO318</f>
        <v>17970337</v>
      </c>
      <c r="AQ320" s="786">
        <f>AQ266+AQ318</f>
        <v>0</v>
      </c>
      <c r="AS320" s="786">
        <f>AS266+AS318</f>
        <v>0</v>
      </c>
      <c r="AU320" s="786">
        <f>AU266+AU318</f>
        <v>0</v>
      </c>
      <c r="AW320" s="786">
        <f>AW266+AW318</f>
        <v>0</v>
      </c>
      <c r="AY320" s="786">
        <f>AY266+AY318</f>
        <v>0</v>
      </c>
      <c r="BA320" s="786">
        <f>BA266+BA318</f>
        <v>0</v>
      </c>
      <c r="BC320" s="786">
        <f t="shared" ref="BC320:BH320" si="1035">BC266+BC318</f>
        <v>1285638</v>
      </c>
      <c r="BE320" s="786">
        <f>BE266+BE318</f>
        <v>0</v>
      </c>
      <c r="BG320" s="786">
        <f>BG266+BG318</f>
        <v>1285638</v>
      </c>
      <c r="BH320" s="786">
        <f t="shared" si="1035"/>
        <v>0</v>
      </c>
      <c r="BI320" s="786">
        <f>BI266+BI318</f>
        <v>0</v>
      </c>
      <c r="BK320" s="786">
        <f>BK266+BK318</f>
        <v>0</v>
      </c>
      <c r="BM320" s="786">
        <f>BM266+BM318</f>
        <v>0</v>
      </c>
      <c r="BO320" s="786">
        <f>BO266+BO318</f>
        <v>163360</v>
      </c>
      <c r="BQ320" s="1001">
        <f>BQ266+BQ318</f>
        <v>0</v>
      </c>
      <c r="BS320" s="786">
        <f>BS266+BS318</f>
        <v>0</v>
      </c>
      <c r="BU320" s="786">
        <f>BU266+BU318</f>
        <v>163360</v>
      </c>
      <c r="BW320" s="786">
        <f>BW266+BW318</f>
        <v>670394</v>
      </c>
      <c r="BZ320" s="1001">
        <f>BZ266+BZ318</f>
        <v>0</v>
      </c>
      <c r="CB320" s="786">
        <f>CB266+CB318</f>
        <v>0</v>
      </c>
      <c r="CD320" s="1001">
        <f>CD266+CD318</f>
        <v>0</v>
      </c>
      <c r="CF320" s="786">
        <f>CF266+CF318</f>
        <v>0</v>
      </c>
      <c r="CH320" s="786">
        <f>CH266+CH318</f>
        <v>670394</v>
      </c>
      <c r="CJ320" s="786">
        <f>CJ266+CJ318</f>
        <v>0</v>
      </c>
      <c r="CL320" s="786">
        <f>CL266+CL318</f>
        <v>0</v>
      </c>
      <c r="CN320" s="786">
        <f>CN266+CN318</f>
        <v>0</v>
      </c>
      <c r="CP320" s="786">
        <f>CP266+CP318</f>
        <v>401661</v>
      </c>
      <c r="CR320" s="786">
        <f>CR266+CR318</f>
        <v>0</v>
      </c>
      <c r="CT320" s="786">
        <f>CT266+CT318</f>
        <v>401661</v>
      </c>
      <c r="CV320" s="1002">
        <f>CV266+CV318</f>
        <v>0</v>
      </c>
      <c r="CW320" s="968"/>
      <c r="CX320" s="1002">
        <f>CX266+CX318</f>
        <v>0</v>
      </c>
      <c r="CY320" s="968"/>
      <c r="CZ320" s="1002">
        <f>CZ266+CZ318</f>
        <v>0</v>
      </c>
      <c r="DB320" s="786">
        <f>DB266+DB318</f>
        <v>2012351000</v>
      </c>
      <c r="DD320" s="786">
        <f>DD266+DD318</f>
        <v>0</v>
      </c>
      <c r="DF320" s="786">
        <f>DF266+DF318</f>
        <v>2012351000</v>
      </c>
      <c r="DH320" s="1002">
        <f>DH266+DH318</f>
        <v>0</v>
      </c>
      <c r="DI320" s="968"/>
      <c r="DJ320" s="1002">
        <f>DJ266+DJ318</f>
        <v>0</v>
      </c>
      <c r="DK320" s="968"/>
      <c r="DL320" s="1002">
        <f>DL266+DL318</f>
        <v>0</v>
      </c>
      <c r="DN320" s="1002">
        <f>DN266+DN318</f>
        <v>0</v>
      </c>
      <c r="DO320" s="968"/>
      <c r="DP320" s="1002">
        <f>DP266+DP318</f>
        <v>0</v>
      </c>
      <c r="DQ320" s="968"/>
      <c r="DR320" s="1002">
        <f>DR266+DR318</f>
        <v>0</v>
      </c>
      <c r="DT320" s="786">
        <f>DT266+DT318</f>
        <v>4240101</v>
      </c>
      <c r="DV320" s="1002">
        <f>DV266+DV318</f>
        <v>0</v>
      </c>
      <c r="DX320" s="786">
        <f>DX266+DX318</f>
        <v>0</v>
      </c>
      <c r="DZ320" s="786">
        <f>DZ266+DZ318</f>
        <v>4240101</v>
      </c>
      <c r="EB320" s="786">
        <f>EB266+EB318</f>
        <v>151333863</v>
      </c>
      <c r="ED320" s="1003">
        <f>ED266+ED318</f>
        <v>0</v>
      </c>
      <c r="EF320" s="786">
        <f>EF266+EF318</f>
        <v>0</v>
      </c>
      <c r="EH320" s="786">
        <f>EH266+EH318</f>
        <v>151333863</v>
      </c>
      <c r="EJ320" s="786">
        <f>EJ266+EJ318</f>
        <v>1186245</v>
      </c>
      <c r="EL320" s="786">
        <f>EL266+EL318</f>
        <v>0</v>
      </c>
      <c r="EN320" s="786">
        <f>EN266+EN318</f>
        <v>1186245</v>
      </c>
      <c r="EP320" s="786">
        <f>EP266+EP318</f>
        <v>35400371</v>
      </c>
      <c r="ER320" s="786">
        <f>ER266+ER318</f>
        <v>0</v>
      </c>
      <c r="ET320" s="786">
        <f>ET266+ET318</f>
        <v>35400371</v>
      </c>
      <c r="EV320" s="786">
        <f>EV266+EV318</f>
        <v>5503710572</v>
      </c>
      <c r="EX320" s="786">
        <f>EX266+EX318</f>
        <v>0</v>
      </c>
      <c r="EZ320" s="786">
        <f>EZ266+EZ318</f>
        <v>5503710572</v>
      </c>
      <c r="FB320" s="786">
        <f>FB266+FB318</f>
        <v>0</v>
      </c>
      <c r="FD320" s="786">
        <f>FD266+FD318</f>
        <v>0</v>
      </c>
      <c r="FF320" s="786">
        <f>FF266+FF318</f>
        <v>0</v>
      </c>
      <c r="FH320" s="786">
        <f>FH266+FH318</f>
        <v>0</v>
      </c>
      <c r="FJ320" s="786">
        <f>FJ266+FJ318</f>
        <v>0</v>
      </c>
      <c r="FL320" s="786">
        <f>FL266+FL318</f>
        <v>203256</v>
      </c>
      <c r="FN320" s="786">
        <f>FN266+FN318</f>
        <v>0</v>
      </c>
      <c r="FP320" s="786">
        <f>FP266+FP318</f>
        <v>203256</v>
      </c>
      <c r="FR320" s="786">
        <f>FR266+FR318</f>
        <v>651089717</v>
      </c>
      <c r="FT320" s="786">
        <f>FT266+FT318</f>
        <v>-1054682</v>
      </c>
      <c r="FV320" s="786">
        <f>FV266+FV318</f>
        <v>650035035</v>
      </c>
      <c r="FX320" s="1002">
        <f>FX266+FX318</f>
        <v>0</v>
      </c>
      <c r="FY320" s="968"/>
      <c r="FZ320" s="1002">
        <f>FZ266+FZ318</f>
        <v>0</v>
      </c>
      <c r="GA320" s="968"/>
      <c r="GB320" s="1002">
        <f>GB266+GB318</f>
        <v>0</v>
      </c>
      <c r="GC320" s="968"/>
      <c r="GD320" s="1002">
        <v>0</v>
      </c>
      <c r="GE320" s="968"/>
      <c r="GF320" s="1002">
        <v>0</v>
      </c>
      <c r="GG320" s="968"/>
      <c r="GH320" s="1002">
        <v>0</v>
      </c>
      <c r="GK320" s="1004">
        <f>O320+U320+AA320+AG320+AO320+AU320+BA320+BG320+BM320+BU320+CH320+CN320+CT320+DF320+DZ320+EH320+EN320+ET320+EZ320+FJ320+FP320+FV320</f>
        <v>8387797262</v>
      </c>
      <c r="GM320" s="761"/>
    </row>
    <row r="321" spans="2:198" ht="12.75" thickTop="1">
      <c r="B321" s="846" t="s">
        <v>1469</v>
      </c>
      <c r="H321" s="849"/>
      <c r="J321" s="770"/>
      <c r="O321" s="828">
        <f>O320-O110-O108</f>
        <v>0</v>
      </c>
      <c r="U321" s="828">
        <f>U320-U110-U108</f>
        <v>0</v>
      </c>
      <c r="AA321" s="828">
        <f>AA320-AA110-AA108</f>
        <v>0</v>
      </c>
      <c r="AG321" s="828">
        <f>AG320-AG110-AG108</f>
        <v>0</v>
      </c>
      <c r="AO321" s="828">
        <f>AO320-AO110-AO108</f>
        <v>0</v>
      </c>
      <c r="AW321" s="828"/>
      <c r="BA321" s="828">
        <f>BA320-BA110-BA108</f>
        <v>0</v>
      </c>
      <c r="BC321" s="828"/>
      <c r="BG321" s="828">
        <f>BG320-BG110-BG108</f>
        <v>0</v>
      </c>
      <c r="BM321" s="828">
        <f>BM320-BM110-BM108</f>
        <v>0</v>
      </c>
      <c r="BQ321" s="952"/>
      <c r="BU321" s="828">
        <f>BU320-BU110-BU108</f>
        <v>0</v>
      </c>
      <c r="BW321" s="761"/>
      <c r="BZ321" s="952"/>
      <c r="CB321" s="761"/>
      <c r="CD321" s="952"/>
      <c r="CH321" s="828">
        <f>CH320-CH110-CH108</f>
        <v>0</v>
      </c>
      <c r="CN321" s="828">
        <f>CN320-CN110-CN108</f>
        <v>0</v>
      </c>
      <c r="CP321" s="761"/>
      <c r="CT321" s="828">
        <f>CT320-CT110-CT108</f>
        <v>0</v>
      </c>
      <c r="CV321" s="977"/>
      <c r="CW321" s="968"/>
      <c r="CX321" s="977"/>
      <c r="CY321" s="968"/>
      <c r="CZ321" s="977"/>
      <c r="DB321" s="761"/>
      <c r="DF321" s="828">
        <f>DF320-DF110-DF108</f>
        <v>0</v>
      </c>
      <c r="DH321" s="977"/>
      <c r="DI321" s="968"/>
      <c r="DJ321" s="977"/>
      <c r="DK321" s="968"/>
      <c r="DL321" s="977"/>
      <c r="DN321" s="977"/>
      <c r="DO321" s="968"/>
      <c r="DP321" s="977"/>
      <c r="DQ321" s="968"/>
      <c r="DR321" s="977"/>
      <c r="DT321" s="761"/>
      <c r="DV321" s="977"/>
      <c r="DZ321" s="828">
        <f>DZ320-DZ110-DZ108</f>
        <v>0</v>
      </c>
      <c r="EB321" s="761"/>
      <c r="ED321" s="978"/>
      <c r="EH321" s="828">
        <f>EH320-EH110-EH108</f>
        <v>0</v>
      </c>
      <c r="EJ321" s="761"/>
      <c r="EN321" s="828">
        <f>EN320-EN110-EN108</f>
        <v>0</v>
      </c>
      <c r="EP321" s="761"/>
      <c r="ET321" s="828">
        <f>ET320-ET110-ET108</f>
        <v>0</v>
      </c>
      <c r="EV321" s="761"/>
      <c r="EZ321" s="828">
        <f>EZ320-EZ110-EZ108</f>
        <v>0</v>
      </c>
      <c r="FB321" s="761"/>
      <c r="FD321" s="761"/>
      <c r="FJ321" s="828">
        <f>FJ320-FJ110-FJ108</f>
        <v>0</v>
      </c>
      <c r="FP321" s="828">
        <f>FP320-FP110-FP108</f>
        <v>0</v>
      </c>
      <c r="FV321" s="828">
        <f>FV320-FV110-FV108</f>
        <v>0</v>
      </c>
      <c r="FX321" s="977"/>
      <c r="FY321" s="968"/>
      <c r="FZ321" s="977"/>
      <c r="GA321" s="968"/>
      <c r="GB321" s="977"/>
      <c r="GC321" s="968"/>
      <c r="GD321" s="977"/>
      <c r="GE321" s="968"/>
      <c r="GF321" s="977"/>
      <c r="GG321" s="968"/>
      <c r="GH321" s="977">
        <v>0</v>
      </c>
      <c r="GK321" s="761"/>
    </row>
    <row r="322" spans="2:198">
      <c r="DV322" s="968"/>
      <c r="ED322" s="969"/>
      <c r="GK322" s="1005" t="s">
        <v>1735</v>
      </c>
      <c r="GL322" s="1006"/>
      <c r="GM322" s="1007"/>
    </row>
    <row r="323" spans="2:198">
      <c r="DV323" s="968"/>
      <c r="ED323" s="969"/>
    </row>
    <row r="324" spans="2:198">
      <c r="G324" s="994"/>
      <c r="H324" s="1008" t="s">
        <v>544</v>
      </c>
      <c r="I324" s="1009"/>
      <c r="J324" s="1010" t="s">
        <v>1736</v>
      </c>
      <c r="K324" s="761">
        <f>K163+K185</f>
        <v>0</v>
      </c>
      <c r="Q324" s="761">
        <f>Q163+Q185</f>
        <v>800042</v>
      </c>
      <c r="W324" s="761">
        <f>W163+W185</f>
        <v>197502</v>
      </c>
      <c r="AC324" s="761">
        <f>AC163+AC185</f>
        <v>0</v>
      </c>
      <c r="AI324" s="761">
        <f>AI163+AI185</f>
        <v>34436340</v>
      </c>
      <c r="AQ324" s="761">
        <f>AQ163+AQ185</f>
        <v>0</v>
      </c>
      <c r="AW324" s="761">
        <f>AW163+AW185</f>
        <v>89141</v>
      </c>
      <c r="BC324" s="761">
        <f>BC163+BC185</f>
        <v>7640315</v>
      </c>
      <c r="BI324" s="761">
        <f>BI163+BI185</f>
        <v>95270</v>
      </c>
      <c r="BO324" s="761">
        <f>BO163+BO185</f>
        <v>170806</v>
      </c>
      <c r="BW324" s="761">
        <f>BW163+BW185</f>
        <v>2111827</v>
      </c>
      <c r="CJ324" s="761">
        <f>CJ163+CJ185</f>
        <v>0</v>
      </c>
      <c r="CP324" s="761">
        <f>CP163+CP185</f>
        <v>742266</v>
      </c>
      <c r="CV324" s="761"/>
      <c r="DB324" s="761">
        <f>DB163+DB185</f>
        <v>1089975000</v>
      </c>
      <c r="DH324" s="761"/>
      <c r="DN324" s="761"/>
      <c r="DT324" s="761">
        <f>DT163+DT185</f>
        <v>92048</v>
      </c>
      <c r="DV324" s="968"/>
      <c r="EB324" s="761">
        <f>EB163+EB185</f>
        <v>2389071</v>
      </c>
      <c r="ED324" s="969"/>
      <c r="EJ324" s="761">
        <f>EJ163+EJ185</f>
        <v>3294011646</v>
      </c>
      <c r="EP324" s="761">
        <f>EP163+EP185</f>
        <v>4931270314</v>
      </c>
      <c r="EV324" s="761">
        <f>EV163+EV185</f>
        <v>5232186679</v>
      </c>
      <c r="FF324" s="761">
        <f>FF163+FF185</f>
        <v>4240359255</v>
      </c>
      <c r="FL324" s="761">
        <f>FL163+FL185</f>
        <v>483730</v>
      </c>
      <c r="FR324" s="761">
        <f>FR163+FR185</f>
        <v>6797955</v>
      </c>
      <c r="GD324" s="761">
        <v>7103997424</v>
      </c>
    </row>
    <row r="325" spans="2:198" ht="68.25" customHeight="1">
      <c r="E325" s="848"/>
      <c r="J325" s="758">
        <v>1</v>
      </c>
      <c r="K325" s="958" t="s">
        <v>1770</v>
      </c>
      <c r="M325" s="774" t="s">
        <v>1711</v>
      </c>
      <c r="O325" s="958" t="s">
        <v>656</v>
      </c>
      <c r="P325" s="772"/>
      <c r="Q325" s="959" t="s">
        <v>1771</v>
      </c>
      <c r="S325" s="774" t="s">
        <v>1711</v>
      </c>
      <c r="U325" s="959" t="s">
        <v>278</v>
      </c>
      <c r="V325" s="772"/>
      <c r="W325" s="958" t="s">
        <v>1772</v>
      </c>
      <c r="Y325" s="774" t="s">
        <v>1711</v>
      </c>
      <c r="AA325" s="958" t="s">
        <v>616</v>
      </c>
      <c r="AB325" s="772"/>
      <c r="AC325" s="958" t="s">
        <v>1773</v>
      </c>
      <c r="AE325" s="774" t="s">
        <v>1711</v>
      </c>
      <c r="AG325" s="958" t="s">
        <v>487</v>
      </c>
      <c r="AH325" s="772"/>
      <c r="AI325" s="959" t="s">
        <v>1774</v>
      </c>
      <c r="AJ325" s="772"/>
      <c r="AK325" s="959" t="s">
        <v>1712</v>
      </c>
      <c r="AM325" s="774" t="s">
        <v>1711</v>
      </c>
      <c r="AO325" s="959" t="s">
        <v>490</v>
      </c>
      <c r="AQ325" s="958" t="s">
        <v>488</v>
      </c>
      <c r="AS325" s="774" t="s">
        <v>1711</v>
      </c>
      <c r="AU325" s="774" t="s">
        <v>579</v>
      </c>
      <c r="AV325" s="772"/>
      <c r="AW325" s="958" t="s">
        <v>1775</v>
      </c>
      <c r="AY325" s="774" t="s">
        <v>1711</v>
      </c>
      <c r="BA325" s="958" t="s">
        <v>35</v>
      </c>
      <c r="BB325" s="772"/>
      <c r="BC325" s="959" t="s">
        <v>1776</v>
      </c>
      <c r="BE325" s="774" t="s">
        <v>1711</v>
      </c>
      <c r="BG325" s="959" t="s">
        <v>491</v>
      </c>
      <c r="BH325" s="772"/>
      <c r="BI325" s="959" t="s">
        <v>1777</v>
      </c>
      <c r="BK325" s="774" t="s">
        <v>1711</v>
      </c>
      <c r="BM325" s="959" t="s">
        <v>1092</v>
      </c>
      <c r="BN325" s="772"/>
      <c r="BO325" s="958" t="s">
        <v>1778</v>
      </c>
      <c r="BQ325" s="960" t="s">
        <v>1713</v>
      </c>
      <c r="BS325" s="774" t="s">
        <v>1711</v>
      </c>
      <c r="BU325" s="958" t="s">
        <v>489</v>
      </c>
      <c r="BW325" s="959" t="s">
        <v>1779</v>
      </c>
      <c r="BZ325" s="960" t="s">
        <v>1714</v>
      </c>
      <c r="CB325" s="961" t="s">
        <v>1368</v>
      </c>
      <c r="CD325" s="960" t="s">
        <v>1715</v>
      </c>
      <c r="CF325" s="774" t="s">
        <v>1711</v>
      </c>
      <c r="CH325" s="959" t="s">
        <v>53</v>
      </c>
      <c r="CJ325" s="958" t="s">
        <v>1780</v>
      </c>
      <c r="CL325" s="774" t="s">
        <v>1711</v>
      </c>
      <c r="CN325" s="958" t="s">
        <v>751</v>
      </c>
      <c r="CP325" s="959" t="s">
        <v>1781</v>
      </c>
      <c r="CR325" s="774" t="s">
        <v>1711</v>
      </c>
      <c r="CT325" s="959" t="s">
        <v>54</v>
      </c>
      <c r="CV325" s="962" t="s">
        <v>1782</v>
      </c>
      <c r="CX325" s="774" t="s">
        <v>1711</v>
      </c>
      <c r="CZ325" s="962" t="s">
        <v>1716</v>
      </c>
      <c r="DB325" s="959" t="s">
        <v>1783</v>
      </c>
      <c r="DD325" s="774" t="s">
        <v>1711</v>
      </c>
      <c r="DF325" s="959" t="s">
        <v>55</v>
      </c>
      <c r="DH325" s="962" t="s">
        <v>1784</v>
      </c>
      <c r="DJ325" s="774" t="s">
        <v>1711</v>
      </c>
      <c r="DL325" s="962" t="s">
        <v>1717</v>
      </c>
      <c r="DM325" s="963"/>
      <c r="DN325" s="962" t="s">
        <v>1785</v>
      </c>
      <c r="DP325" s="774" t="s">
        <v>1711</v>
      </c>
      <c r="DR325" s="962" t="s">
        <v>1718</v>
      </c>
      <c r="DT325" s="964" t="s">
        <v>1786</v>
      </c>
      <c r="DV325" s="965"/>
      <c r="DX325" s="774" t="s">
        <v>1711</v>
      </c>
      <c r="DZ325" s="930" t="s">
        <v>983</v>
      </c>
      <c r="EB325" s="959" t="s">
        <v>1787</v>
      </c>
      <c r="ED325" s="966"/>
      <c r="EF325" s="774" t="s">
        <v>1711</v>
      </c>
      <c r="EH325" s="959" t="s">
        <v>56</v>
      </c>
      <c r="EJ325" s="959" t="s">
        <v>1788</v>
      </c>
      <c r="EL325" s="774" t="s">
        <v>1711</v>
      </c>
      <c r="EN325" s="959" t="s">
        <v>57</v>
      </c>
      <c r="EP325" s="959" t="s">
        <v>1789</v>
      </c>
      <c r="ER325" s="774" t="s">
        <v>1711</v>
      </c>
      <c r="ET325" s="959" t="s">
        <v>700</v>
      </c>
      <c r="EV325" s="959" t="s">
        <v>1790</v>
      </c>
      <c r="EX325" s="774" t="s">
        <v>1711</v>
      </c>
      <c r="EZ325" s="930" t="s">
        <v>945</v>
      </c>
      <c r="FB325" s="960"/>
      <c r="FD325" s="967" t="s">
        <v>1369</v>
      </c>
      <c r="FF325" s="959" t="s">
        <v>1791</v>
      </c>
      <c r="FH325" s="774" t="s">
        <v>1711</v>
      </c>
      <c r="FJ325" s="959" t="s">
        <v>702</v>
      </c>
      <c r="FL325" s="959" t="s">
        <v>1792</v>
      </c>
      <c r="FN325" s="774" t="s">
        <v>1711</v>
      </c>
      <c r="FP325" s="959" t="s">
        <v>1364</v>
      </c>
      <c r="FR325" s="959" t="s">
        <v>1793</v>
      </c>
      <c r="FT325" s="774" t="s">
        <v>1711</v>
      </c>
      <c r="FV325" s="959" t="s">
        <v>1370</v>
      </c>
      <c r="FX325" s="962" t="s">
        <v>1794</v>
      </c>
      <c r="FZ325" s="774" t="s">
        <v>1711</v>
      </c>
      <c r="GB325" s="962" t="s">
        <v>1719</v>
      </c>
      <c r="GD325" s="962" t="s">
        <v>1861</v>
      </c>
      <c r="GF325" s="774" t="s">
        <v>1711</v>
      </c>
      <c r="GH325" s="962" t="s">
        <v>579</v>
      </c>
      <c r="GK325" s="759" t="s">
        <v>1737</v>
      </c>
      <c r="GM325" s="759" t="s">
        <v>1738</v>
      </c>
      <c r="GN325" s="759" t="s">
        <v>1739</v>
      </c>
      <c r="GP325" s="759"/>
    </row>
    <row r="326" spans="2:198">
      <c r="E326" s="849"/>
      <c r="J326" s="771">
        <v>2</v>
      </c>
      <c r="BQ326" s="952"/>
      <c r="BW326" s="761"/>
      <c r="BZ326" s="952"/>
      <c r="CB326" s="761"/>
      <c r="CD326" s="952"/>
      <c r="CP326" s="761"/>
      <c r="CV326" s="761"/>
      <c r="DB326" s="761"/>
      <c r="DH326" s="761"/>
      <c r="DN326" s="761"/>
      <c r="DT326" s="761"/>
      <c r="DV326" s="977"/>
      <c r="EB326" s="761"/>
      <c r="ED326" s="978"/>
      <c r="EJ326" s="761"/>
      <c r="EP326" s="761"/>
      <c r="EV326" s="761"/>
      <c r="FB326" s="761"/>
      <c r="FD326" s="761"/>
      <c r="GK326" s="758" t="s">
        <v>1740</v>
      </c>
    </row>
    <row r="327" spans="2:198">
      <c r="C327" s="782" t="s">
        <v>1741</v>
      </c>
      <c r="E327" s="849"/>
      <c r="J327" s="758">
        <v>3</v>
      </c>
      <c r="K327" s="775"/>
      <c r="M327" s="775"/>
      <c r="O327" s="775">
        <f t="shared" ref="O327:O343" si="1036">K327+M327</f>
        <v>0</v>
      </c>
      <c r="Q327" s="775"/>
      <c r="S327" s="775"/>
      <c r="U327" s="775">
        <f t="shared" ref="U327:U343" si="1037">Q327+S327</f>
        <v>0</v>
      </c>
      <c r="W327" s="775"/>
      <c r="Y327" s="775"/>
      <c r="AA327" s="775">
        <f t="shared" ref="AA327:AA343" si="1038">W327+Y327</f>
        <v>0</v>
      </c>
      <c r="AC327" s="775"/>
      <c r="AE327" s="775"/>
      <c r="AG327" s="775">
        <f t="shared" ref="AG327:AG343" si="1039">AC327+AE327</f>
        <v>0</v>
      </c>
      <c r="AI327" s="775"/>
      <c r="AK327" s="970">
        <v>0</v>
      </c>
      <c r="AM327" s="775"/>
      <c r="AO327" s="775">
        <f t="shared" ref="AO327:AO343" si="1040">AI327+AM327</f>
        <v>0</v>
      </c>
      <c r="AQ327" s="775"/>
      <c r="AS327" s="775"/>
      <c r="AU327" s="775">
        <f t="shared" ref="AU327:AU343" si="1041">AQ327+AS327</f>
        <v>0</v>
      </c>
      <c r="AW327" s="775"/>
      <c r="AY327" s="775"/>
      <c r="BA327" s="775">
        <f t="shared" ref="BA327:BA343" si="1042">AW327+AY327</f>
        <v>0</v>
      </c>
      <c r="BC327" s="775"/>
      <c r="BE327" s="775"/>
      <c r="BG327" s="775">
        <f t="shared" ref="BG327:BG343" si="1043">BC327+BE327</f>
        <v>0</v>
      </c>
      <c r="BI327" s="775"/>
      <c r="BK327" s="775"/>
      <c r="BM327" s="775">
        <f t="shared" ref="BM327:BM343" si="1044">BI327+BK327</f>
        <v>0</v>
      </c>
      <c r="BO327" s="775"/>
      <c r="BQ327" s="970"/>
      <c r="BS327" s="775"/>
      <c r="BU327" s="775">
        <f t="shared" ref="BU327:BU343" si="1045">BO327+BS327</f>
        <v>0</v>
      </c>
      <c r="BW327" s="775"/>
      <c r="BZ327" s="970"/>
      <c r="CB327" s="775"/>
      <c r="CD327" s="970"/>
      <c r="CF327" s="775"/>
      <c r="CH327" s="775">
        <f t="shared" ref="CH327:CH343" si="1046">BW327+CF327</f>
        <v>0</v>
      </c>
      <c r="CJ327" s="775"/>
      <c r="CL327" s="775"/>
      <c r="CN327" s="775">
        <f t="shared" ref="CN327:CN343" si="1047">CJ327+CL327</f>
        <v>0</v>
      </c>
      <c r="CP327" s="775"/>
      <c r="CR327" s="775"/>
      <c r="CT327" s="775">
        <f t="shared" ref="CT327:CT343" si="1048">CP327+CR327</f>
        <v>0</v>
      </c>
      <c r="CV327" s="971"/>
      <c r="CW327" s="968"/>
      <c r="CX327" s="971"/>
      <c r="CY327" s="968"/>
      <c r="CZ327" s="971">
        <f t="shared" ref="CZ327:CZ343" si="1049">CV327+CX327</f>
        <v>0</v>
      </c>
      <c r="DB327" s="776">
        <v>979742000</v>
      </c>
      <c r="DD327" s="775"/>
      <c r="DF327" s="775">
        <f t="shared" ref="DF327:DF343" si="1050">DB327+DD327</f>
        <v>979742000</v>
      </c>
      <c r="DH327" s="971"/>
      <c r="DI327" s="968"/>
      <c r="DJ327" s="971"/>
      <c r="DK327" s="968"/>
      <c r="DL327" s="971">
        <f t="shared" ref="DL327:DL343" si="1051">DH327+DJ327</f>
        <v>0</v>
      </c>
      <c r="DN327" s="971"/>
      <c r="DO327" s="968"/>
      <c r="DP327" s="971"/>
      <c r="DQ327" s="968"/>
      <c r="DR327" s="971">
        <f t="shared" ref="DR327:DR343" si="1052">DN327+DP327</f>
        <v>0</v>
      </c>
      <c r="DT327" s="775"/>
      <c r="DV327" s="971">
        <v>0</v>
      </c>
      <c r="DX327" s="775"/>
      <c r="DZ327" s="775">
        <f t="shared" ref="DZ327:DZ343" si="1053">DT327+DX327</f>
        <v>0</v>
      </c>
      <c r="EB327" s="775"/>
      <c r="ED327" s="972">
        <v>0</v>
      </c>
      <c r="EF327" s="775"/>
      <c r="EH327" s="775">
        <f t="shared" ref="EH327:EH343" si="1054">EB327+EF327</f>
        <v>0</v>
      </c>
      <c r="EJ327" s="775">
        <v>3292503553</v>
      </c>
      <c r="EL327" s="775"/>
      <c r="EN327" s="775">
        <f t="shared" ref="EN327:EN343" si="1055">EJ327+EL327</f>
        <v>3292503553</v>
      </c>
      <c r="EP327" s="775">
        <v>4763714760</v>
      </c>
      <c r="ER327" s="775"/>
      <c r="ET327" s="775">
        <f t="shared" ref="ET327:ET343" si="1056">EP327+ER327</f>
        <v>4763714760</v>
      </c>
      <c r="EV327" s="775">
        <f t="shared" ref="EV327:EV334" si="1057">EV150+EV171</f>
        <v>627922547</v>
      </c>
      <c r="EX327" s="775">
        <f t="shared" ref="EX327:EX334" si="1058">EX150+EX171</f>
        <v>0</v>
      </c>
      <c r="EZ327" s="775">
        <f t="shared" ref="EZ327:EZ343" si="1059">EV327+EX327</f>
        <v>627922547</v>
      </c>
      <c r="FB327" s="775"/>
      <c r="FD327" s="775"/>
      <c r="FF327" s="775">
        <v>4048594255</v>
      </c>
      <c r="FH327" s="775"/>
      <c r="FJ327" s="775">
        <f t="shared" ref="FJ327:FJ343" si="1060">FF327+FH327</f>
        <v>4048594255</v>
      </c>
      <c r="FL327" s="775"/>
      <c r="FN327" s="775"/>
      <c r="FP327" s="775">
        <f t="shared" ref="FP327:FP343" si="1061">FL327+FN327</f>
        <v>0</v>
      </c>
      <c r="FR327" s="775"/>
      <c r="FT327" s="775"/>
      <c r="FV327" s="775">
        <f t="shared" ref="FV327:FV343" si="1062">FR327+FT327</f>
        <v>0</v>
      </c>
      <c r="FX327" s="971"/>
      <c r="FY327" s="968"/>
      <c r="FZ327" s="971">
        <v>0</v>
      </c>
      <c r="GA327" s="968"/>
      <c r="GB327" s="971">
        <f t="shared" ref="GB327:GB343" si="1063">FX327+FZ327</f>
        <v>0</v>
      </c>
      <c r="GC327" s="968"/>
      <c r="GD327" s="971">
        <v>7103997424</v>
      </c>
      <c r="GE327" s="968"/>
      <c r="GF327" s="971"/>
      <c r="GG327" s="968"/>
      <c r="GH327" s="971">
        <v>7103997424</v>
      </c>
      <c r="GM327" s="761">
        <f>O327+U327+AA327+AG327+AO327+AU327+BA327+BG327+BM327+BU327+CH327+CN327+CT327+DF327+DZ327+EH327+EN327+ET327+EZ327+FJ327+FP327+FV327</f>
        <v>13712477115</v>
      </c>
      <c r="GN327" s="761">
        <f>SUM(GK327:GM327)</f>
        <v>13712477115</v>
      </c>
    </row>
    <row r="328" spans="2:198">
      <c r="C328" s="783" t="s">
        <v>1482</v>
      </c>
      <c r="E328" s="849"/>
      <c r="J328" s="771">
        <v>4</v>
      </c>
      <c r="K328" s="775"/>
      <c r="M328" s="775"/>
      <c r="O328" s="775">
        <f t="shared" si="1036"/>
        <v>0</v>
      </c>
      <c r="Q328" s="775"/>
      <c r="S328" s="775"/>
      <c r="U328" s="775">
        <f t="shared" si="1037"/>
        <v>0</v>
      </c>
      <c r="W328" s="775"/>
      <c r="Y328" s="775"/>
      <c r="AA328" s="775">
        <f t="shared" si="1038"/>
        <v>0</v>
      </c>
      <c r="AC328" s="775"/>
      <c r="AE328" s="775"/>
      <c r="AG328" s="775">
        <f t="shared" si="1039"/>
        <v>0</v>
      </c>
      <c r="AI328" s="775"/>
      <c r="AK328" s="970">
        <v>0</v>
      </c>
      <c r="AM328" s="775"/>
      <c r="AO328" s="775">
        <f t="shared" si="1040"/>
        <v>0</v>
      </c>
      <c r="AQ328" s="775"/>
      <c r="AS328" s="775"/>
      <c r="AU328" s="775">
        <f t="shared" si="1041"/>
        <v>0</v>
      </c>
      <c r="AW328" s="775"/>
      <c r="AY328" s="775"/>
      <c r="BA328" s="775">
        <f t="shared" si="1042"/>
        <v>0</v>
      </c>
      <c r="BC328" s="775"/>
      <c r="BE328" s="775"/>
      <c r="BG328" s="775">
        <f t="shared" si="1043"/>
        <v>0</v>
      </c>
      <c r="BI328" s="775"/>
      <c r="BK328" s="775"/>
      <c r="BM328" s="775">
        <f t="shared" si="1044"/>
        <v>0</v>
      </c>
      <c r="BO328" s="775"/>
      <c r="BQ328" s="970"/>
      <c r="BS328" s="775"/>
      <c r="BU328" s="775">
        <f t="shared" si="1045"/>
        <v>0</v>
      </c>
      <c r="BW328" s="775"/>
      <c r="BZ328" s="970"/>
      <c r="CB328" s="775"/>
      <c r="CD328" s="970"/>
      <c r="CF328" s="775"/>
      <c r="CH328" s="775">
        <f t="shared" si="1046"/>
        <v>0</v>
      </c>
      <c r="CJ328" s="775"/>
      <c r="CL328" s="775"/>
      <c r="CN328" s="775">
        <f t="shared" si="1047"/>
        <v>0</v>
      </c>
      <c r="CP328" s="775"/>
      <c r="CR328" s="775"/>
      <c r="CT328" s="775">
        <f t="shared" si="1048"/>
        <v>0</v>
      </c>
      <c r="CV328" s="971"/>
      <c r="CW328" s="968"/>
      <c r="CX328" s="971"/>
      <c r="CY328" s="968"/>
      <c r="CZ328" s="971">
        <f t="shared" si="1049"/>
        <v>0</v>
      </c>
      <c r="DB328" s="775"/>
      <c r="DD328" s="775"/>
      <c r="DF328" s="775">
        <f t="shared" si="1050"/>
        <v>0</v>
      </c>
      <c r="DH328" s="971"/>
      <c r="DI328" s="968"/>
      <c r="DJ328" s="971"/>
      <c r="DK328" s="968"/>
      <c r="DL328" s="971">
        <f t="shared" si="1051"/>
        <v>0</v>
      </c>
      <c r="DN328" s="971"/>
      <c r="DO328" s="968"/>
      <c r="DP328" s="971"/>
      <c r="DQ328" s="968"/>
      <c r="DR328" s="971">
        <f t="shared" si="1052"/>
        <v>0</v>
      </c>
      <c r="DT328" s="775"/>
      <c r="DV328" s="971">
        <v>0</v>
      </c>
      <c r="DX328" s="775"/>
      <c r="DZ328" s="775">
        <f t="shared" si="1053"/>
        <v>0</v>
      </c>
      <c r="EB328" s="775"/>
      <c r="ED328" s="972">
        <v>0</v>
      </c>
      <c r="EF328" s="775"/>
      <c r="EH328" s="775">
        <f t="shared" si="1054"/>
        <v>0</v>
      </c>
      <c r="EJ328" s="775"/>
      <c r="EL328" s="775"/>
      <c r="EN328" s="775">
        <f t="shared" si="1055"/>
        <v>0</v>
      </c>
      <c r="EP328" s="775"/>
      <c r="ER328" s="775"/>
      <c r="ET328" s="775">
        <f t="shared" si="1056"/>
        <v>0</v>
      </c>
      <c r="EV328" s="775">
        <f t="shared" si="1057"/>
        <v>212496007</v>
      </c>
      <c r="EX328" s="775">
        <f t="shared" si="1058"/>
        <v>0</v>
      </c>
      <c r="EZ328" s="775">
        <f t="shared" si="1059"/>
        <v>212496007</v>
      </c>
      <c r="FB328" s="775"/>
      <c r="FD328" s="775"/>
      <c r="FF328" s="775"/>
      <c r="FH328" s="775"/>
      <c r="FJ328" s="775">
        <f t="shared" si="1060"/>
        <v>0</v>
      </c>
      <c r="FL328" s="775"/>
      <c r="FN328" s="775"/>
      <c r="FP328" s="775">
        <f t="shared" si="1061"/>
        <v>0</v>
      </c>
      <c r="FR328" s="775"/>
      <c r="FT328" s="775"/>
      <c r="FV328" s="775">
        <f t="shared" si="1062"/>
        <v>0</v>
      </c>
      <c r="FX328" s="971"/>
      <c r="FY328" s="968"/>
      <c r="FZ328" s="971">
        <v>0</v>
      </c>
      <c r="GA328" s="968"/>
      <c r="GB328" s="971">
        <f t="shared" si="1063"/>
        <v>0</v>
      </c>
      <c r="GC328" s="968"/>
      <c r="GD328" s="971"/>
      <c r="GE328" s="968"/>
      <c r="GF328" s="971"/>
      <c r="GG328" s="968"/>
      <c r="GH328" s="971">
        <v>0</v>
      </c>
      <c r="GM328" s="761">
        <f>O328+U328+AA328+AG328+AO328+AU328+BA328+BG328+BM328+BU328+CH328+CN328+CT328+DF328+DZ328+EH328+EN328+ET328+EZ328+FJ328+FP328+FV328</f>
        <v>212496007</v>
      </c>
      <c r="GN328" s="761">
        <f t="shared" ref="GN328:GN343" si="1064">SUM(GK328:GM328)</f>
        <v>212496007</v>
      </c>
    </row>
    <row r="329" spans="2:198" ht="10.5" customHeight="1">
      <c r="C329" s="783" t="s">
        <v>1742</v>
      </c>
      <c r="E329" s="849"/>
      <c r="J329" s="758">
        <v>5</v>
      </c>
      <c r="K329" s="775"/>
      <c r="M329" s="775"/>
      <c r="O329" s="775">
        <f t="shared" si="1036"/>
        <v>0</v>
      </c>
      <c r="Q329" s="775">
        <v>86794</v>
      </c>
      <c r="S329" s="775"/>
      <c r="U329" s="775">
        <f t="shared" si="1037"/>
        <v>86794</v>
      </c>
      <c r="W329" s="775"/>
      <c r="Y329" s="775"/>
      <c r="AA329" s="775">
        <f t="shared" si="1038"/>
        <v>0</v>
      </c>
      <c r="AC329" s="775"/>
      <c r="AE329" s="775"/>
      <c r="AG329" s="775">
        <f t="shared" si="1039"/>
        <v>0</v>
      </c>
      <c r="AI329" s="775">
        <v>16715561</v>
      </c>
      <c r="AK329" s="970">
        <v>0</v>
      </c>
      <c r="AM329" s="775"/>
      <c r="AO329" s="775">
        <f t="shared" si="1040"/>
        <v>16715561</v>
      </c>
      <c r="AQ329" s="775"/>
      <c r="AS329" s="775"/>
      <c r="AU329" s="775">
        <f t="shared" si="1041"/>
        <v>0</v>
      </c>
      <c r="AW329" s="775"/>
      <c r="AY329" s="775"/>
      <c r="BA329" s="775">
        <f t="shared" si="1042"/>
        <v>0</v>
      </c>
      <c r="BC329" s="775"/>
      <c r="BE329" s="775"/>
      <c r="BG329" s="775">
        <f t="shared" si="1043"/>
        <v>0</v>
      </c>
      <c r="BI329" s="775"/>
      <c r="BK329" s="775"/>
      <c r="BM329" s="775">
        <f t="shared" si="1044"/>
        <v>0</v>
      </c>
      <c r="BO329" s="775">
        <v>163360</v>
      </c>
      <c r="BQ329" s="970"/>
      <c r="BS329" s="775"/>
      <c r="BU329" s="775">
        <f t="shared" si="1045"/>
        <v>163360</v>
      </c>
      <c r="BW329" s="775"/>
      <c r="BZ329" s="970"/>
      <c r="CB329" s="775"/>
      <c r="CD329" s="970"/>
      <c r="CF329" s="775"/>
      <c r="CH329" s="775">
        <f t="shared" si="1046"/>
        <v>0</v>
      </c>
      <c r="CJ329" s="775"/>
      <c r="CL329" s="775"/>
      <c r="CN329" s="775">
        <f t="shared" si="1047"/>
        <v>0</v>
      </c>
      <c r="CP329" s="775">
        <v>397167</v>
      </c>
      <c r="CR329" s="775"/>
      <c r="CT329" s="775">
        <f t="shared" si="1048"/>
        <v>397167</v>
      </c>
      <c r="CV329" s="971"/>
      <c r="CW329" s="968"/>
      <c r="CX329" s="971"/>
      <c r="CY329" s="968"/>
      <c r="CZ329" s="971">
        <f t="shared" si="1049"/>
        <v>0</v>
      </c>
      <c r="DB329" s="775"/>
      <c r="DD329" s="775"/>
      <c r="DF329" s="775">
        <f t="shared" si="1050"/>
        <v>0</v>
      </c>
      <c r="DH329" s="971"/>
      <c r="DI329" s="968"/>
      <c r="DJ329" s="971"/>
      <c r="DK329" s="968"/>
      <c r="DL329" s="971">
        <f t="shared" si="1051"/>
        <v>0</v>
      </c>
      <c r="DN329" s="971"/>
      <c r="DO329" s="968"/>
      <c r="DP329" s="971"/>
      <c r="DQ329" s="968"/>
      <c r="DR329" s="971">
        <f t="shared" si="1052"/>
        <v>0</v>
      </c>
      <c r="DT329" s="775"/>
      <c r="DV329" s="971">
        <v>0</v>
      </c>
      <c r="DX329" s="775"/>
      <c r="DZ329" s="775">
        <f t="shared" si="1053"/>
        <v>0</v>
      </c>
      <c r="EB329" s="775">
        <v>2232700</v>
      </c>
      <c r="ED329" s="972">
        <v>0</v>
      </c>
      <c r="EF329" s="775"/>
      <c r="EH329" s="775">
        <f t="shared" si="1054"/>
        <v>2232700</v>
      </c>
      <c r="EJ329" s="775">
        <v>1185409</v>
      </c>
      <c r="EL329" s="775"/>
      <c r="EN329" s="775">
        <f t="shared" si="1055"/>
        <v>1185409</v>
      </c>
      <c r="EP329" s="775">
        <v>1710887</v>
      </c>
      <c r="ER329" s="775"/>
      <c r="ET329" s="775">
        <f t="shared" si="1056"/>
        <v>1710887</v>
      </c>
      <c r="EV329" s="775">
        <f t="shared" si="1057"/>
        <v>4374711069</v>
      </c>
      <c r="EX329" s="775">
        <f t="shared" si="1058"/>
        <v>0</v>
      </c>
      <c r="EZ329" s="775">
        <f t="shared" si="1059"/>
        <v>4374711069</v>
      </c>
      <c r="FB329" s="775"/>
      <c r="FD329" s="775"/>
      <c r="FF329" s="775"/>
      <c r="FH329" s="775"/>
      <c r="FJ329" s="775">
        <f t="shared" si="1060"/>
        <v>0</v>
      </c>
      <c r="FL329" s="775">
        <v>160671</v>
      </c>
      <c r="FN329" s="775"/>
      <c r="FP329" s="775">
        <f t="shared" si="1061"/>
        <v>160671</v>
      </c>
      <c r="FR329" s="775">
        <v>3678229</v>
      </c>
      <c r="FT329" s="775"/>
      <c r="FV329" s="775">
        <f t="shared" si="1062"/>
        <v>3678229</v>
      </c>
      <c r="FX329" s="971"/>
      <c r="FY329" s="968"/>
      <c r="FZ329" s="971">
        <v>0</v>
      </c>
      <c r="GA329" s="968"/>
      <c r="GB329" s="971">
        <f t="shared" si="1063"/>
        <v>0</v>
      </c>
      <c r="GC329" s="968"/>
      <c r="GD329" s="971"/>
      <c r="GE329" s="968"/>
      <c r="GF329" s="971"/>
      <c r="GG329" s="968"/>
      <c r="GH329" s="971">
        <v>0</v>
      </c>
      <c r="GM329" s="761">
        <f t="shared" ref="GM329:GM343" si="1065">O329+U329+AA329+AG329+AO329+AU329+BA329+BG329+BM329+BU329+CH329+CN329+CT329+DF329+DZ329+EH329+EN329+ET329+EZ329+FJ329+FP329+FV329</f>
        <v>4401041847</v>
      </c>
      <c r="GN329" s="761">
        <f t="shared" si="1064"/>
        <v>4401041847</v>
      </c>
    </row>
    <row r="330" spans="2:198">
      <c r="C330" s="782" t="s">
        <v>1483</v>
      </c>
      <c r="E330" s="849"/>
      <c r="J330" s="771">
        <v>6</v>
      </c>
      <c r="K330" s="775"/>
      <c r="M330" s="775"/>
      <c r="O330" s="775">
        <f t="shared" si="1036"/>
        <v>0</v>
      </c>
      <c r="Q330" s="775"/>
      <c r="S330" s="775"/>
      <c r="U330" s="775">
        <f t="shared" si="1037"/>
        <v>0</v>
      </c>
      <c r="W330" s="775"/>
      <c r="Y330" s="775"/>
      <c r="AA330" s="775">
        <f t="shared" si="1038"/>
        <v>0</v>
      </c>
      <c r="AC330" s="775"/>
      <c r="AE330" s="775"/>
      <c r="AG330" s="775">
        <f t="shared" si="1039"/>
        <v>0</v>
      </c>
      <c r="AI330" s="775"/>
      <c r="AK330" s="970">
        <v>0</v>
      </c>
      <c r="AM330" s="775"/>
      <c r="AO330" s="775">
        <f t="shared" si="1040"/>
        <v>0</v>
      </c>
      <c r="AQ330" s="775"/>
      <c r="AS330" s="775"/>
      <c r="AU330" s="775">
        <f t="shared" si="1041"/>
        <v>0</v>
      </c>
      <c r="AW330" s="775"/>
      <c r="AY330" s="775"/>
      <c r="BA330" s="775">
        <f t="shared" si="1042"/>
        <v>0</v>
      </c>
      <c r="BC330" s="775"/>
      <c r="BE330" s="775"/>
      <c r="BG330" s="775">
        <f t="shared" si="1043"/>
        <v>0</v>
      </c>
      <c r="BI330" s="775"/>
      <c r="BK330" s="775"/>
      <c r="BM330" s="775">
        <f t="shared" si="1044"/>
        <v>0</v>
      </c>
      <c r="BO330" s="775"/>
      <c r="BQ330" s="970"/>
      <c r="BS330" s="775"/>
      <c r="BU330" s="775">
        <f t="shared" si="1045"/>
        <v>0</v>
      </c>
      <c r="BW330" s="775"/>
      <c r="BZ330" s="970"/>
      <c r="CB330" s="775"/>
      <c r="CD330" s="970"/>
      <c r="CF330" s="775"/>
      <c r="CH330" s="775">
        <f t="shared" si="1046"/>
        <v>0</v>
      </c>
      <c r="CJ330" s="775"/>
      <c r="CL330" s="775"/>
      <c r="CN330" s="775">
        <f t="shared" si="1047"/>
        <v>0</v>
      </c>
      <c r="CP330" s="775"/>
      <c r="CR330" s="775"/>
      <c r="CT330" s="775">
        <f t="shared" si="1048"/>
        <v>0</v>
      </c>
      <c r="CV330" s="971"/>
      <c r="CW330" s="968"/>
      <c r="CX330" s="971"/>
      <c r="CY330" s="968"/>
      <c r="CZ330" s="971">
        <f t="shared" si="1049"/>
        <v>0</v>
      </c>
      <c r="DB330" s="775"/>
      <c r="DD330" s="775"/>
      <c r="DF330" s="775">
        <f t="shared" si="1050"/>
        <v>0</v>
      </c>
      <c r="DH330" s="971"/>
      <c r="DI330" s="968"/>
      <c r="DJ330" s="971"/>
      <c r="DK330" s="968"/>
      <c r="DL330" s="971">
        <f t="shared" si="1051"/>
        <v>0</v>
      </c>
      <c r="DN330" s="971"/>
      <c r="DO330" s="968"/>
      <c r="DP330" s="971"/>
      <c r="DQ330" s="968"/>
      <c r="DR330" s="971">
        <f t="shared" si="1052"/>
        <v>0</v>
      </c>
      <c r="DT330" s="775"/>
      <c r="DV330" s="971">
        <v>0</v>
      </c>
      <c r="DX330" s="775"/>
      <c r="DZ330" s="775">
        <f t="shared" si="1053"/>
        <v>0</v>
      </c>
      <c r="EB330" s="775"/>
      <c r="ED330" s="972"/>
      <c r="EF330" s="775"/>
      <c r="EH330" s="775">
        <f t="shared" si="1054"/>
        <v>0</v>
      </c>
      <c r="EJ330" s="775"/>
      <c r="EL330" s="775"/>
      <c r="EN330" s="775">
        <f t="shared" si="1055"/>
        <v>0</v>
      </c>
      <c r="EP330" s="775"/>
      <c r="ER330" s="775"/>
      <c r="ET330" s="775">
        <f t="shared" si="1056"/>
        <v>0</v>
      </c>
      <c r="EV330" s="775">
        <f t="shared" si="1057"/>
        <v>0</v>
      </c>
      <c r="EX330" s="775">
        <f t="shared" si="1058"/>
        <v>0</v>
      </c>
      <c r="EZ330" s="775">
        <f t="shared" si="1059"/>
        <v>0</v>
      </c>
      <c r="FB330" s="775"/>
      <c r="FD330" s="775"/>
      <c r="FF330" s="775"/>
      <c r="FH330" s="775"/>
      <c r="FJ330" s="775">
        <f t="shared" si="1060"/>
        <v>0</v>
      </c>
      <c r="FL330" s="775"/>
      <c r="FN330" s="775"/>
      <c r="FP330" s="775">
        <f t="shared" si="1061"/>
        <v>0</v>
      </c>
      <c r="FR330" s="775"/>
      <c r="FT330" s="775"/>
      <c r="FV330" s="775">
        <f t="shared" si="1062"/>
        <v>0</v>
      </c>
      <c r="FX330" s="971"/>
      <c r="FY330" s="968"/>
      <c r="FZ330" s="971">
        <v>0</v>
      </c>
      <c r="GA330" s="968"/>
      <c r="GB330" s="971">
        <f t="shared" si="1063"/>
        <v>0</v>
      </c>
      <c r="GC330" s="968"/>
      <c r="GD330" s="971"/>
      <c r="GE330" s="968"/>
      <c r="GF330" s="971"/>
      <c r="GG330" s="968"/>
      <c r="GH330" s="971">
        <v>0</v>
      </c>
      <c r="GM330" s="761">
        <f t="shared" si="1065"/>
        <v>0</v>
      </c>
      <c r="GN330" s="761">
        <f t="shared" ref="GN330:GN331" si="1066">SUM(GK330:GM330)</f>
        <v>0</v>
      </c>
    </row>
    <row r="331" spans="2:198">
      <c r="C331" s="782" t="s">
        <v>1743</v>
      </c>
      <c r="E331" s="849"/>
      <c r="I331" s="850" t="s">
        <v>1734</v>
      </c>
      <c r="J331" s="758">
        <v>7</v>
      </c>
      <c r="K331" s="775"/>
      <c r="M331" s="775"/>
      <c r="O331" s="775">
        <f t="shared" si="1036"/>
        <v>0</v>
      </c>
      <c r="Q331" s="775"/>
      <c r="S331" s="775"/>
      <c r="U331" s="775">
        <f t="shared" si="1037"/>
        <v>0</v>
      </c>
      <c r="W331" s="775"/>
      <c r="Y331" s="775"/>
      <c r="AA331" s="775">
        <f t="shared" si="1038"/>
        <v>0</v>
      </c>
      <c r="AC331" s="775"/>
      <c r="AE331" s="775"/>
      <c r="AG331" s="775">
        <f t="shared" si="1039"/>
        <v>0</v>
      </c>
      <c r="AI331" s="775"/>
      <c r="AK331" s="970">
        <v>0</v>
      </c>
      <c r="AM331" s="775"/>
      <c r="AO331" s="775">
        <f t="shared" si="1040"/>
        <v>0</v>
      </c>
      <c r="AQ331" s="775"/>
      <c r="AS331" s="775"/>
      <c r="AU331" s="775">
        <f t="shared" si="1041"/>
        <v>0</v>
      </c>
      <c r="AW331" s="775"/>
      <c r="AY331" s="775"/>
      <c r="BA331" s="775">
        <f t="shared" si="1042"/>
        <v>0</v>
      </c>
      <c r="BC331" s="775"/>
      <c r="BE331" s="775"/>
      <c r="BG331" s="775">
        <f t="shared" si="1043"/>
        <v>0</v>
      </c>
      <c r="BI331" s="775"/>
      <c r="BK331" s="775"/>
      <c r="BM331" s="775">
        <f t="shared" si="1044"/>
        <v>0</v>
      </c>
      <c r="BO331" s="775"/>
      <c r="BQ331" s="970"/>
      <c r="BS331" s="775"/>
      <c r="BU331" s="775">
        <f t="shared" si="1045"/>
        <v>0</v>
      </c>
      <c r="BW331" s="775"/>
      <c r="BZ331" s="970"/>
      <c r="CB331" s="775"/>
      <c r="CD331" s="970"/>
      <c r="CF331" s="775"/>
      <c r="CH331" s="775">
        <f t="shared" si="1046"/>
        <v>0</v>
      </c>
      <c r="CJ331" s="775"/>
      <c r="CL331" s="775"/>
      <c r="CN331" s="775">
        <f t="shared" si="1047"/>
        <v>0</v>
      </c>
      <c r="CP331" s="775"/>
      <c r="CR331" s="775"/>
      <c r="CT331" s="775">
        <f t="shared" si="1048"/>
        <v>0</v>
      </c>
      <c r="CV331" s="971"/>
      <c r="CW331" s="968"/>
      <c r="CX331" s="971"/>
      <c r="CY331" s="968"/>
      <c r="CZ331" s="971">
        <f t="shared" si="1049"/>
        <v>0</v>
      </c>
      <c r="DB331" s="775"/>
      <c r="DD331" s="775"/>
      <c r="DF331" s="775">
        <f t="shared" si="1050"/>
        <v>0</v>
      </c>
      <c r="DH331" s="971"/>
      <c r="DI331" s="968"/>
      <c r="DJ331" s="971"/>
      <c r="DK331" s="968"/>
      <c r="DL331" s="971">
        <f t="shared" si="1051"/>
        <v>0</v>
      </c>
      <c r="DN331" s="971"/>
      <c r="DO331" s="968"/>
      <c r="DP331" s="971"/>
      <c r="DQ331" s="968"/>
      <c r="DR331" s="971">
        <f t="shared" si="1052"/>
        <v>0</v>
      </c>
      <c r="DT331" s="775"/>
      <c r="DV331" s="971">
        <v>0</v>
      </c>
      <c r="DX331" s="775"/>
      <c r="DZ331" s="775">
        <f t="shared" si="1053"/>
        <v>0</v>
      </c>
      <c r="EB331" s="775"/>
      <c r="ED331" s="972"/>
      <c r="EF331" s="775"/>
      <c r="EH331" s="775">
        <f t="shared" si="1054"/>
        <v>0</v>
      </c>
      <c r="EJ331" s="775"/>
      <c r="EL331" s="775"/>
      <c r="EN331" s="775">
        <f t="shared" si="1055"/>
        <v>0</v>
      </c>
      <c r="EP331" s="775"/>
      <c r="ER331" s="775"/>
      <c r="ET331" s="775">
        <f t="shared" si="1056"/>
        <v>0</v>
      </c>
      <c r="EV331" s="775">
        <f t="shared" si="1057"/>
        <v>0</v>
      </c>
      <c r="EX331" s="775">
        <f t="shared" si="1058"/>
        <v>0</v>
      </c>
      <c r="EZ331" s="775">
        <f t="shared" si="1059"/>
        <v>0</v>
      </c>
      <c r="FB331" s="775"/>
      <c r="FD331" s="775"/>
      <c r="FF331" s="775"/>
      <c r="FH331" s="775"/>
      <c r="FJ331" s="775">
        <f t="shared" si="1060"/>
        <v>0</v>
      </c>
      <c r="FL331" s="775"/>
      <c r="FN331" s="775"/>
      <c r="FP331" s="775">
        <f t="shared" si="1061"/>
        <v>0</v>
      </c>
      <c r="FR331" s="775"/>
      <c r="FT331" s="775"/>
      <c r="FV331" s="775">
        <f t="shared" si="1062"/>
        <v>0</v>
      </c>
      <c r="FX331" s="971"/>
      <c r="FY331" s="968"/>
      <c r="FZ331" s="971">
        <v>0</v>
      </c>
      <c r="GA331" s="968"/>
      <c r="GB331" s="971">
        <f t="shared" si="1063"/>
        <v>0</v>
      </c>
      <c r="GC331" s="968"/>
      <c r="GD331" s="971"/>
      <c r="GE331" s="968"/>
      <c r="GF331" s="971"/>
      <c r="GG331" s="968"/>
      <c r="GH331" s="971">
        <v>0</v>
      </c>
      <c r="GM331" s="761">
        <f t="shared" si="1065"/>
        <v>0</v>
      </c>
      <c r="GN331" s="761">
        <f t="shared" si="1066"/>
        <v>0</v>
      </c>
    </row>
    <row r="332" spans="2:198">
      <c r="C332" s="782" t="s">
        <v>1470</v>
      </c>
      <c r="E332" s="849"/>
      <c r="I332" s="780" t="s">
        <v>1471</v>
      </c>
      <c r="J332" s="758">
        <v>8</v>
      </c>
      <c r="K332" s="775"/>
      <c r="M332" s="775"/>
      <c r="O332" s="775">
        <f t="shared" si="1036"/>
        <v>0</v>
      </c>
      <c r="Q332" s="775"/>
      <c r="S332" s="775"/>
      <c r="U332" s="775">
        <f t="shared" si="1037"/>
        <v>0</v>
      </c>
      <c r="W332" s="775"/>
      <c r="Y332" s="775"/>
      <c r="AA332" s="775">
        <f t="shared" si="1038"/>
        <v>0</v>
      </c>
      <c r="AC332" s="775"/>
      <c r="AE332" s="775"/>
      <c r="AG332" s="775">
        <f t="shared" si="1039"/>
        <v>0</v>
      </c>
      <c r="AI332" s="775"/>
      <c r="AK332" s="970">
        <v>0</v>
      </c>
      <c r="AM332" s="775"/>
      <c r="AO332" s="775">
        <f t="shared" si="1040"/>
        <v>0</v>
      </c>
      <c r="AQ332" s="775"/>
      <c r="AS332" s="775"/>
      <c r="AU332" s="775">
        <f t="shared" si="1041"/>
        <v>0</v>
      </c>
      <c r="AW332" s="775"/>
      <c r="AY332" s="775"/>
      <c r="BA332" s="775">
        <f t="shared" si="1042"/>
        <v>0</v>
      </c>
      <c r="BC332" s="775"/>
      <c r="BE332" s="775"/>
      <c r="BG332" s="775">
        <f t="shared" si="1043"/>
        <v>0</v>
      </c>
      <c r="BI332" s="775"/>
      <c r="BK332" s="775"/>
      <c r="BM332" s="775">
        <f t="shared" si="1044"/>
        <v>0</v>
      </c>
      <c r="BO332" s="775"/>
      <c r="BQ332" s="970"/>
      <c r="BS332" s="775"/>
      <c r="BU332" s="775">
        <f t="shared" si="1045"/>
        <v>0</v>
      </c>
      <c r="BW332" s="775"/>
      <c r="BZ332" s="970"/>
      <c r="CB332" s="775"/>
      <c r="CD332" s="970"/>
      <c r="CF332" s="775"/>
      <c r="CH332" s="775">
        <f t="shared" si="1046"/>
        <v>0</v>
      </c>
      <c r="CJ332" s="775"/>
      <c r="CL332" s="775"/>
      <c r="CN332" s="775">
        <f t="shared" si="1047"/>
        <v>0</v>
      </c>
      <c r="CP332" s="775"/>
      <c r="CR332" s="775"/>
      <c r="CT332" s="775">
        <f t="shared" si="1048"/>
        <v>0</v>
      </c>
      <c r="CV332" s="971"/>
      <c r="CW332" s="968"/>
      <c r="CX332" s="971"/>
      <c r="CY332" s="968"/>
      <c r="CZ332" s="971">
        <f t="shared" si="1049"/>
        <v>0</v>
      </c>
      <c r="DB332" s="775"/>
      <c r="DD332" s="775"/>
      <c r="DF332" s="775">
        <f t="shared" si="1050"/>
        <v>0</v>
      </c>
      <c r="DH332" s="971"/>
      <c r="DI332" s="968"/>
      <c r="DJ332" s="971"/>
      <c r="DK332" s="968"/>
      <c r="DL332" s="971">
        <f t="shared" si="1051"/>
        <v>0</v>
      </c>
      <c r="DN332" s="971"/>
      <c r="DO332" s="968"/>
      <c r="DP332" s="971"/>
      <c r="DQ332" s="968"/>
      <c r="DR332" s="971">
        <f t="shared" si="1052"/>
        <v>0</v>
      </c>
      <c r="DT332" s="775"/>
      <c r="DV332" s="971">
        <v>0</v>
      </c>
      <c r="DX332" s="775"/>
      <c r="DZ332" s="775">
        <f t="shared" si="1053"/>
        <v>0</v>
      </c>
      <c r="EB332" s="775">
        <v>156371</v>
      </c>
      <c r="ED332" s="972"/>
      <c r="EF332" s="775"/>
      <c r="EH332" s="775">
        <f t="shared" si="1054"/>
        <v>156371</v>
      </c>
      <c r="EJ332" s="775"/>
      <c r="EL332" s="775"/>
      <c r="EN332" s="775">
        <f t="shared" si="1055"/>
        <v>0</v>
      </c>
      <c r="EP332" s="775"/>
      <c r="ER332" s="775">
        <v>17585878</v>
      </c>
      <c r="ET332" s="775">
        <f t="shared" si="1056"/>
        <v>17585878</v>
      </c>
      <c r="EV332" s="775">
        <f t="shared" si="1057"/>
        <v>2519949</v>
      </c>
      <c r="EX332" s="775">
        <f t="shared" si="1058"/>
        <v>0</v>
      </c>
      <c r="EZ332" s="775">
        <f t="shared" si="1059"/>
        <v>2519949</v>
      </c>
      <c r="FB332" s="775"/>
      <c r="FD332" s="775"/>
      <c r="FF332" s="775"/>
      <c r="FH332" s="775"/>
      <c r="FJ332" s="775">
        <f t="shared" si="1060"/>
        <v>0</v>
      </c>
      <c r="FL332" s="775"/>
      <c r="FN332" s="775"/>
      <c r="FP332" s="775">
        <f t="shared" si="1061"/>
        <v>0</v>
      </c>
      <c r="FR332" s="775"/>
      <c r="FT332" s="775"/>
      <c r="FV332" s="775">
        <f t="shared" si="1062"/>
        <v>0</v>
      </c>
      <c r="FX332" s="971"/>
      <c r="FY332" s="968"/>
      <c r="FZ332" s="971">
        <v>0</v>
      </c>
      <c r="GA332" s="968"/>
      <c r="GB332" s="971">
        <f t="shared" si="1063"/>
        <v>0</v>
      </c>
      <c r="GC332" s="968"/>
      <c r="GD332" s="971"/>
      <c r="GE332" s="968"/>
      <c r="GF332" s="971"/>
      <c r="GG332" s="968"/>
      <c r="GH332" s="971">
        <v>0</v>
      </c>
      <c r="GM332" s="761">
        <f t="shared" si="1065"/>
        <v>20262198</v>
      </c>
      <c r="GN332" s="761">
        <f t="shared" si="1064"/>
        <v>20262198</v>
      </c>
    </row>
    <row r="333" spans="2:198">
      <c r="C333" s="782" t="s">
        <v>1484</v>
      </c>
      <c r="J333" s="771">
        <v>9</v>
      </c>
      <c r="K333" s="775"/>
      <c r="M333" s="775"/>
      <c r="O333" s="775">
        <f t="shared" si="1036"/>
        <v>0</v>
      </c>
      <c r="Q333" s="775"/>
      <c r="S333" s="775"/>
      <c r="U333" s="775">
        <f>Q333+S333</f>
        <v>0</v>
      </c>
      <c r="W333" s="775"/>
      <c r="Y333" s="775"/>
      <c r="AA333" s="775">
        <f t="shared" si="1038"/>
        <v>0</v>
      </c>
      <c r="AC333" s="775"/>
      <c r="AE333" s="775"/>
      <c r="AG333" s="775">
        <f t="shared" si="1039"/>
        <v>0</v>
      </c>
      <c r="AI333" s="775"/>
      <c r="AK333" s="970">
        <v>0</v>
      </c>
      <c r="AM333" s="775"/>
      <c r="AO333" s="775">
        <f t="shared" si="1040"/>
        <v>0</v>
      </c>
      <c r="AQ333" s="775"/>
      <c r="AS333" s="775"/>
      <c r="AU333" s="775">
        <f t="shared" si="1041"/>
        <v>0</v>
      </c>
      <c r="AW333" s="775"/>
      <c r="AY333" s="775"/>
      <c r="BA333" s="775">
        <f t="shared" si="1042"/>
        <v>0</v>
      </c>
      <c r="BC333" s="775"/>
      <c r="BE333" s="775"/>
      <c r="BG333" s="775">
        <f t="shared" si="1043"/>
        <v>0</v>
      </c>
      <c r="BI333" s="775"/>
      <c r="BK333" s="775"/>
      <c r="BM333" s="775">
        <f t="shared" si="1044"/>
        <v>0</v>
      </c>
      <c r="BO333" s="775"/>
      <c r="BQ333" s="970"/>
      <c r="BS333" s="775"/>
      <c r="BU333" s="775">
        <f t="shared" si="1045"/>
        <v>0</v>
      </c>
      <c r="BW333" s="775"/>
      <c r="BZ333" s="970"/>
      <c r="CB333" s="775"/>
      <c r="CD333" s="970"/>
      <c r="CF333" s="775"/>
      <c r="CH333" s="775">
        <f t="shared" si="1046"/>
        <v>0</v>
      </c>
      <c r="CJ333" s="775"/>
      <c r="CL333" s="775"/>
      <c r="CN333" s="775">
        <f t="shared" si="1047"/>
        <v>0</v>
      </c>
      <c r="CP333" s="775"/>
      <c r="CR333" s="775"/>
      <c r="CT333" s="775">
        <f t="shared" si="1048"/>
        <v>0</v>
      </c>
      <c r="CV333" s="971"/>
      <c r="CW333" s="968"/>
      <c r="CX333" s="971"/>
      <c r="CY333" s="968"/>
      <c r="CZ333" s="971">
        <f t="shared" si="1049"/>
        <v>0</v>
      </c>
      <c r="DB333" s="775">
        <v>68580000</v>
      </c>
      <c r="DD333" s="775"/>
      <c r="DF333" s="775">
        <f t="shared" si="1050"/>
        <v>68580000</v>
      </c>
      <c r="DH333" s="971"/>
      <c r="DI333" s="968"/>
      <c r="DJ333" s="971"/>
      <c r="DK333" s="968"/>
      <c r="DL333" s="971">
        <f t="shared" si="1051"/>
        <v>0</v>
      </c>
      <c r="DN333" s="971"/>
      <c r="DO333" s="968"/>
      <c r="DP333" s="971"/>
      <c r="DQ333" s="968"/>
      <c r="DR333" s="971">
        <f t="shared" si="1052"/>
        <v>0</v>
      </c>
      <c r="DT333" s="775"/>
      <c r="DV333" s="971">
        <v>0</v>
      </c>
      <c r="DX333" s="775"/>
      <c r="DZ333" s="775">
        <f t="shared" si="1053"/>
        <v>0</v>
      </c>
      <c r="EB333" s="775"/>
      <c r="ED333" s="972">
        <v>0</v>
      </c>
      <c r="EF333" s="775"/>
      <c r="EH333" s="775">
        <f t="shared" si="1054"/>
        <v>0</v>
      </c>
      <c r="EJ333" s="775"/>
      <c r="EL333" s="775"/>
      <c r="EN333" s="775">
        <f t="shared" si="1055"/>
        <v>0</v>
      </c>
      <c r="EP333" s="775"/>
      <c r="ER333" s="775"/>
      <c r="ET333" s="775">
        <f t="shared" si="1056"/>
        <v>0</v>
      </c>
      <c r="EV333" s="775">
        <f t="shared" si="1057"/>
        <v>0</v>
      </c>
      <c r="EX333" s="775">
        <f t="shared" si="1058"/>
        <v>0</v>
      </c>
      <c r="EZ333" s="775">
        <f t="shared" si="1059"/>
        <v>0</v>
      </c>
      <c r="FB333" s="775"/>
      <c r="FD333" s="775"/>
      <c r="FF333" s="775">
        <v>191765000</v>
      </c>
      <c r="FH333" s="775"/>
      <c r="FJ333" s="775">
        <f t="shared" si="1060"/>
        <v>191765000</v>
      </c>
      <c r="FL333" s="775"/>
      <c r="FN333" s="775"/>
      <c r="FP333" s="775">
        <f t="shared" si="1061"/>
        <v>0</v>
      </c>
      <c r="FR333" s="775"/>
      <c r="FT333" s="775"/>
      <c r="FV333" s="775">
        <f t="shared" si="1062"/>
        <v>0</v>
      </c>
      <c r="FX333" s="971"/>
      <c r="FY333" s="968"/>
      <c r="FZ333" s="971">
        <v>0</v>
      </c>
      <c r="GA333" s="968"/>
      <c r="GB333" s="971">
        <f t="shared" si="1063"/>
        <v>0</v>
      </c>
      <c r="GC333" s="968"/>
      <c r="GD333" s="971"/>
      <c r="GE333" s="968"/>
      <c r="GF333" s="971"/>
      <c r="GG333" s="968"/>
      <c r="GH333" s="971">
        <v>0</v>
      </c>
      <c r="GM333" s="761">
        <f t="shared" si="1065"/>
        <v>260345000</v>
      </c>
      <c r="GN333" s="761">
        <f t="shared" ref="GN333" si="1067">SUM(GK333:GM333)</f>
        <v>260345000</v>
      </c>
      <c r="GP333" s="761"/>
    </row>
    <row r="334" spans="2:198">
      <c r="C334" s="782" t="s">
        <v>96</v>
      </c>
      <c r="J334" s="758">
        <v>10</v>
      </c>
      <c r="K334" s="775"/>
      <c r="M334" s="775"/>
      <c r="O334" s="775">
        <f t="shared" si="1036"/>
        <v>0</v>
      </c>
      <c r="Q334" s="775">
        <v>266904</v>
      </c>
      <c r="S334" s="775"/>
      <c r="U334" s="775">
        <f>Q334+S334</f>
        <v>266904</v>
      </c>
      <c r="W334" s="775">
        <v>197502</v>
      </c>
      <c r="Y334" s="775"/>
      <c r="AA334" s="775">
        <f t="shared" si="1038"/>
        <v>197502</v>
      </c>
      <c r="AC334" s="775"/>
      <c r="AE334" s="775"/>
      <c r="AG334" s="775">
        <f t="shared" si="1039"/>
        <v>0</v>
      </c>
      <c r="AI334" s="775">
        <v>1591797</v>
      </c>
      <c r="AK334" s="970">
        <v>0</v>
      </c>
      <c r="AM334" s="775"/>
      <c r="AO334" s="775">
        <f t="shared" si="1040"/>
        <v>1591797</v>
      </c>
      <c r="AQ334" s="775"/>
      <c r="AS334" s="775"/>
      <c r="AU334" s="775">
        <f t="shared" si="1041"/>
        <v>0</v>
      </c>
      <c r="AW334" s="775"/>
      <c r="AY334" s="775"/>
      <c r="BA334" s="775">
        <f t="shared" si="1042"/>
        <v>0</v>
      </c>
      <c r="BC334" s="775">
        <v>622682</v>
      </c>
      <c r="BE334" s="775"/>
      <c r="BG334" s="775">
        <f t="shared" si="1043"/>
        <v>622682</v>
      </c>
      <c r="BI334" s="775">
        <v>95270</v>
      </c>
      <c r="BK334" s="775"/>
      <c r="BM334" s="775">
        <f t="shared" si="1044"/>
        <v>95270</v>
      </c>
      <c r="BO334" s="775">
        <v>7446</v>
      </c>
      <c r="BQ334" s="970"/>
      <c r="BS334" s="775"/>
      <c r="BU334" s="775">
        <f t="shared" si="1045"/>
        <v>7446</v>
      </c>
      <c r="BW334" s="775">
        <v>105529</v>
      </c>
      <c r="BZ334" s="970"/>
      <c r="CB334" s="775"/>
      <c r="CD334" s="970"/>
      <c r="CF334" s="775"/>
      <c r="CH334" s="775">
        <f t="shared" si="1046"/>
        <v>105529</v>
      </c>
      <c r="CJ334" s="775"/>
      <c r="CL334" s="775"/>
      <c r="CN334" s="775">
        <f t="shared" si="1047"/>
        <v>0</v>
      </c>
      <c r="CP334" s="775">
        <v>345099</v>
      </c>
      <c r="CR334" s="775"/>
      <c r="CT334" s="775">
        <f t="shared" si="1048"/>
        <v>345099</v>
      </c>
      <c r="CV334" s="971"/>
      <c r="CW334" s="968"/>
      <c r="CX334" s="971"/>
      <c r="CY334" s="968"/>
      <c r="CZ334" s="971">
        <f t="shared" si="1049"/>
        <v>0</v>
      </c>
      <c r="DB334" s="775">
        <v>10095000</v>
      </c>
      <c r="DD334" s="775"/>
      <c r="DF334" s="775">
        <f t="shared" si="1050"/>
        <v>10095000</v>
      </c>
      <c r="DH334" s="971"/>
      <c r="DI334" s="968"/>
      <c r="DJ334" s="971"/>
      <c r="DK334" s="968"/>
      <c r="DL334" s="971">
        <f t="shared" si="1051"/>
        <v>0</v>
      </c>
      <c r="DN334" s="971"/>
      <c r="DO334" s="968"/>
      <c r="DP334" s="971"/>
      <c r="DQ334" s="968"/>
      <c r="DR334" s="971">
        <f t="shared" si="1052"/>
        <v>0</v>
      </c>
      <c r="DT334" s="775">
        <v>44238</v>
      </c>
      <c r="DV334" s="971">
        <v>0</v>
      </c>
      <c r="DX334" s="775"/>
      <c r="DZ334" s="775">
        <f t="shared" si="1053"/>
        <v>44238</v>
      </c>
      <c r="EB334" s="775"/>
      <c r="ED334" s="972">
        <v>0</v>
      </c>
      <c r="EF334" s="775"/>
      <c r="EH334" s="775">
        <f t="shared" si="1054"/>
        <v>0</v>
      </c>
      <c r="EJ334" s="775">
        <v>114761</v>
      </c>
      <c r="EL334" s="775"/>
      <c r="EN334" s="775">
        <f t="shared" si="1055"/>
        <v>114761</v>
      </c>
      <c r="EP334" s="775">
        <v>6665265</v>
      </c>
      <c r="ER334" s="775"/>
      <c r="ET334" s="775">
        <f t="shared" si="1056"/>
        <v>6665265</v>
      </c>
      <c r="EV334" s="775">
        <f t="shared" si="1057"/>
        <v>1135282</v>
      </c>
      <c r="EX334" s="775">
        <f t="shared" si="1058"/>
        <v>0</v>
      </c>
      <c r="EZ334" s="775">
        <f t="shared" si="1059"/>
        <v>1135282</v>
      </c>
      <c r="FB334" s="775"/>
      <c r="FD334" s="775"/>
      <c r="FF334" s="775"/>
      <c r="FH334" s="775"/>
      <c r="FJ334" s="775">
        <f t="shared" si="1060"/>
        <v>0</v>
      </c>
      <c r="FL334" s="775">
        <v>323059</v>
      </c>
      <c r="FN334" s="775"/>
      <c r="FP334" s="775">
        <f t="shared" si="1061"/>
        <v>323059</v>
      </c>
      <c r="FR334" s="775">
        <v>450792</v>
      </c>
      <c r="FT334" s="775"/>
      <c r="FV334" s="775">
        <f t="shared" si="1062"/>
        <v>450792</v>
      </c>
      <c r="FX334" s="971"/>
      <c r="FY334" s="968"/>
      <c r="FZ334" s="971">
        <v>0</v>
      </c>
      <c r="GA334" s="968"/>
      <c r="GB334" s="971">
        <f t="shared" si="1063"/>
        <v>0</v>
      </c>
      <c r="GC334" s="968"/>
      <c r="GD334" s="971"/>
      <c r="GE334" s="968"/>
      <c r="GF334" s="971"/>
      <c r="GG334" s="968"/>
      <c r="GH334" s="971">
        <v>0</v>
      </c>
      <c r="GM334" s="761">
        <f t="shared" si="1065"/>
        <v>22060626</v>
      </c>
      <c r="GN334" s="761">
        <f t="shared" si="1064"/>
        <v>22060626</v>
      </c>
    </row>
    <row r="335" spans="2:198" ht="10.5" customHeight="1">
      <c r="C335" s="782" t="s">
        <v>1485</v>
      </c>
      <c r="J335" s="771">
        <v>11</v>
      </c>
      <c r="K335" s="775"/>
      <c r="M335" s="775"/>
      <c r="O335" s="775">
        <f t="shared" si="1036"/>
        <v>0</v>
      </c>
      <c r="Q335" s="775"/>
      <c r="S335" s="775"/>
      <c r="U335" s="775">
        <f t="shared" ref="U335:U337" si="1068">Q335+S335</f>
        <v>0</v>
      </c>
      <c r="W335" s="775"/>
      <c r="Y335" s="775"/>
      <c r="AA335" s="775">
        <f t="shared" si="1038"/>
        <v>0</v>
      </c>
      <c r="AC335" s="775"/>
      <c r="AE335" s="775"/>
      <c r="AG335" s="775">
        <f t="shared" si="1039"/>
        <v>0</v>
      </c>
      <c r="AI335" s="775">
        <v>13177756</v>
      </c>
      <c r="AK335" s="970">
        <v>0</v>
      </c>
      <c r="AM335" s="775"/>
      <c r="AO335" s="775">
        <f t="shared" si="1040"/>
        <v>13177756</v>
      </c>
      <c r="AQ335" s="775"/>
      <c r="AS335" s="775"/>
      <c r="AU335" s="775">
        <f t="shared" si="1041"/>
        <v>0</v>
      </c>
      <c r="AW335" s="775"/>
      <c r="AY335" s="775"/>
      <c r="BA335" s="775">
        <f t="shared" si="1042"/>
        <v>0</v>
      </c>
      <c r="BC335" s="775">
        <v>5747455</v>
      </c>
      <c r="BE335" s="775"/>
      <c r="BG335" s="775">
        <f t="shared" si="1043"/>
        <v>5747455</v>
      </c>
      <c r="BI335" s="775"/>
      <c r="BK335" s="775"/>
      <c r="BM335" s="775">
        <f t="shared" si="1044"/>
        <v>0</v>
      </c>
      <c r="BO335" s="775"/>
      <c r="BQ335" s="970"/>
      <c r="BS335" s="775"/>
      <c r="BU335" s="775">
        <f t="shared" si="1045"/>
        <v>0</v>
      </c>
      <c r="BW335" s="775">
        <v>1640639</v>
      </c>
      <c r="BZ335" s="970"/>
      <c r="CB335" s="775"/>
      <c r="CD335" s="970"/>
      <c r="CF335" s="775"/>
      <c r="CH335" s="775">
        <f t="shared" si="1046"/>
        <v>1640639</v>
      </c>
      <c r="CJ335" s="775"/>
      <c r="CL335" s="775"/>
      <c r="CN335" s="775">
        <f t="shared" si="1047"/>
        <v>0</v>
      </c>
      <c r="CP335" s="775"/>
      <c r="CR335" s="775"/>
      <c r="CT335" s="775">
        <f t="shared" si="1048"/>
        <v>0</v>
      </c>
      <c r="CV335" s="971"/>
      <c r="CW335" s="968"/>
      <c r="CX335" s="971"/>
      <c r="CY335" s="968"/>
      <c r="CZ335" s="971">
        <f t="shared" si="1049"/>
        <v>0</v>
      </c>
      <c r="DB335" s="775">
        <v>18337000</v>
      </c>
      <c r="DD335" s="775"/>
      <c r="DF335" s="775">
        <f t="shared" si="1050"/>
        <v>18337000</v>
      </c>
      <c r="DH335" s="971"/>
      <c r="DI335" s="968"/>
      <c r="DJ335" s="971"/>
      <c r="DK335" s="968"/>
      <c r="DL335" s="971">
        <f t="shared" si="1051"/>
        <v>0</v>
      </c>
      <c r="DN335" s="971"/>
      <c r="DO335" s="968"/>
      <c r="DP335" s="971"/>
      <c r="DQ335" s="968"/>
      <c r="DR335" s="971">
        <f t="shared" si="1052"/>
        <v>0</v>
      </c>
      <c r="DT335" s="775"/>
      <c r="DV335" s="971">
        <v>0</v>
      </c>
      <c r="DX335" s="775"/>
      <c r="DZ335" s="775">
        <f t="shared" si="1053"/>
        <v>0</v>
      </c>
      <c r="EB335" s="775"/>
      <c r="ED335" s="972">
        <v>0</v>
      </c>
      <c r="EF335" s="775"/>
      <c r="EH335" s="775">
        <f t="shared" si="1054"/>
        <v>0</v>
      </c>
      <c r="EJ335" s="775"/>
      <c r="EL335" s="775"/>
      <c r="EN335" s="775">
        <f t="shared" si="1055"/>
        <v>0</v>
      </c>
      <c r="EP335" s="775"/>
      <c r="ER335" s="775"/>
      <c r="ET335" s="775">
        <f t="shared" si="1056"/>
        <v>0</v>
      </c>
      <c r="EV335" s="775">
        <f>EV179</f>
        <v>11687000</v>
      </c>
      <c r="EX335" s="775">
        <f>EX179</f>
        <v>0</v>
      </c>
      <c r="EZ335" s="775">
        <f t="shared" si="1059"/>
        <v>11687000</v>
      </c>
      <c r="FB335" s="775"/>
      <c r="FD335" s="775"/>
      <c r="FF335" s="775"/>
      <c r="FH335" s="775"/>
      <c r="FJ335" s="775">
        <f t="shared" si="1060"/>
        <v>0</v>
      </c>
      <c r="FL335" s="775"/>
      <c r="FN335" s="775"/>
      <c r="FP335" s="775">
        <f t="shared" si="1061"/>
        <v>0</v>
      </c>
      <c r="FR335" s="775">
        <v>2266033</v>
      </c>
      <c r="FT335" s="775"/>
      <c r="FV335" s="775">
        <f t="shared" si="1062"/>
        <v>2266033</v>
      </c>
      <c r="FX335" s="971"/>
      <c r="FY335" s="968"/>
      <c r="FZ335" s="971">
        <v>0</v>
      </c>
      <c r="GA335" s="968"/>
      <c r="GB335" s="971">
        <f t="shared" si="1063"/>
        <v>0</v>
      </c>
      <c r="GC335" s="968"/>
      <c r="GD335" s="971"/>
      <c r="GE335" s="968"/>
      <c r="GF335" s="971"/>
      <c r="GG335" s="968"/>
      <c r="GH335" s="971">
        <v>0</v>
      </c>
      <c r="GK335" s="951">
        <f>941684+1251696+743847</f>
        <v>2937227</v>
      </c>
      <c r="GM335" s="761">
        <f t="shared" si="1065"/>
        <v>52855883</v>
      </c>
      <c r="GN335" s="761">
        <f t="shared" si="1064"/>
        <v>55793110</v>
      </c>
    </row>
    <row r="336" spans="2:198" ht="10.5" customHeight="1">
      <c r="C336" s="782" t="s">
        <v>1744</v>
      </c>
      <c r="J336" s="758">
        <v>12</v>
      </c>
      <c r="K336" s="775"/>
      <c r="M336" s="775"/>
      <c r="O336" s="775">
        <f t="shared" si="1036"/>
        <v>0</v>
      </c>
      <c r="Q336" s="775">
        <v>446344</v>
      </c>
      <c r="S336" s="775"/>
      <c r="U336" s="775">
        <f t="shared" si="1068"/>
        <v>446344</v>
      </c>
      <c r="W336" s="775"/>
      <c r="Y336" s="775"/>
      <c r="AA336" s="775">
        <f t="shared" si="1038"/>
        <v>0</v>
      </c>
      <c r="AC336" s="775"/>
      <c r="AE336" s="775"/>
      <c r="AG336" s="775">
        <f t="shared" si="1039"/>
        <v>0</v>
      </c>
      <c r="AI336" s="775">
        <v>2359643</v>
      </c>
      <c r="AK336" s="970">
        <v>0</v>
      </c>
      <c r="AM336" s="775"/>
      <c r="AO336" s="775">
        <f t="shared" si="1040"/>
        <v>2359643</v>
      </c>
      <c r="AQ336" s="775"/>
      <c r="AS336" s="775"/>
      <c r="AU336" s="775">
        <f t="shared" si="1041"/>
        <v>0</v>
      </c>
      <c r="AW336" s="775"/>
      <c r="AY336" s="775"/>
      <c r="BA336" s="775">
        <f t="shared" si="1042"/>
        <v>0</v>
      </c>
      <c r="BC336" s="775">
        <v>955735</v>
      </c>
      <c r="BE336" s="775"/>
      <c r="BG336" s="775">
        <f t="shared" si="1043"/>
        <v>955735</v>
      </c>
      <c r="BI336" s="775"/>
      <c r="BK336" s="775"/>
      <c r="BM336" s="775">
        <f t="shared" si="1044"/>
        <v>0</v>
      </c>
      <c r="BO336" s="775"/>
      <c r="BQ336" s="970"/>
      <c r="BS336" s="775"/>
      <c r="BU336" s="775">
        <f t="shared" si="1045"/>
        <v>0</v>
      </c>
      <c r="BW336" s="775">
        <v>365659</v>
      </c>
      <c r="BZ336" s="970"/>
      <c r="CB336" s="775"/>
      <c r="CD336" s="970"/>
      <c r="CF336" s="775">
        <v>-86708</v>
      </c>
      <c r="CH336" s="775">
        <f t="shared" si="1046"/>
        <v>278951</v>
      </c>
      <c r="CJ336" s="775"/>
      <c r="CL336" s="775"/>
      <c r="CN336" s="775">
        <f t="shared" si="1047"/>
        <v>0</v>
      </c>
      <c r="CP336" s="775"/>
      <c r="CR336" s="775"/>
      <c r="CT336" s="775">
        <f t="shared" si="1048"/>
        <v>0</v>
      </c>
      <c r="CV336" s="971"/>
      <c r="CW336" s="968"/>
      <c r="CX336" s="971"/>
      <c r="CY336" s="968"/>
      <c r="CZ336" s="971">
        <f t="shared" si="1049"/>
        <v>0</v>
      </c>
      <c r="DB336" s="775">
        <v>13221000</v>
      </c>
      <c r="DD336" s="775"/>
      <c r="DF336" s="775">
        <f t="shared" si="1050"/>
        <v>13221000</v>
      </c>
      <c r="DH336" s="971"/>
      <c r="DI336" s="968"/>
      <c r="DJ336" s="971"/>
      <c r="DK336" s="968"/>
      <c r="DL336" s="971">
        <f t="shared" si="1051"/>
        <v>0</v>
      </c>
      <c r="DN336" s="971"/>
      <c r="DO336" s="968"/>
      <c r="DP336" s="971"/>
      <c r="DQ336" s="968"/>
      <c r="DR336" s="971">
        <f t="shared" si="1052"/>
        <v>0</v>
      </c>
      <c r="DT336" s="775">
        <v>47810</v>
      </c>
      <c r="DV336" s="971">
        <v>0</v>
      </c>
      <c r="DX336" s="775"/>
      <c r="DZ336" s="775">
        <f t="shared" si="1053"/>
        <v>47810</v>
      </c>
      <c r="EB336" s="775"/>
      <c r="ED336" s="972">
        <v>0</v>
      </c>
      <c r="EF336" s="775"/>
      <c r="EH336" s="775">
        <f t="shared" si="1054"/>
        <v>0</v>
      </c>
      <c r="EJ336" s="775">
        <v>207923</v>
      </c>
      <c r="EL336" s="775"/>
      <c r="EN336" s="775">
        <f t="shared" si="1055"/>
        <v>207923</v>
      </c>
      <c r="EP336" s="775"/>
      <c r="ER336" s="775"/>
      <c r="ET336" s="775">
        <f t="shared" si="1056"/>
        <v>0</v>
      </c>
      <c r="EV336" s="775">
        <f>EV158+EV180</f>
        <v>0</v>
      </c>
      <c r="EX336" s="775">
        <f>EX158+EX180</f>
        <v>910000</v>
      </c>
      <c r="EZ336" s="775">
        <f t="shared" si="1059"/>
        <v>910000</v>
      </c>
      <c r="FB336" s="775"/>
      <c r="FD336" s="775"/>
      <c r="FF336" s="775"/>
      <c r="FH336" s="775"/>
      <c r="FJ336" s="775">
        <f t="shared" si="1060"/>
        <v>0</v>
      </c>
      <c r="FL336" s="775"/>
      <c r="FN336" s="775"/>
      <c r="FP336" s="775">
        <f t="shared" si="1061"/>
        <v>0</v>
      </c>
      <c r="FR336" s="775">
        <v>402901</v>
      </c>
      <c r="FT336" s="775"/>
      <c r="FV336" s="775">
        <f t="shared" si="1062"/>
        <v>402901</v>
      </c>
      <c r="FX336" s="971"/>
      <c r="FY336" s="968"/>
      <c r="FZ336" s="971">
        <v>0</v>
      </c>
      <c r="GA336" s="968"/>
      <c r="GB336" s="971">
        <f t="shared" si="1063"/>
        <v>0</v>
      </c>
      <c r="GC336" s="968"/>
      <c r="GD336" s="971"/>
      <c r="GE336" s="968"/>
      <c r="GF336" s="971"/>
      <c r="GG336" s="968"/>
      <c r="GH336" s="971">
        <v>0</v>
      </c>
      <c r="GK336" s="951">
        <f>122541+203749+154478</f>
        <v>480768</v>
      </c>
      <c r="GM336" s="761">
        <f t="shared" si="1065"/>
        <v>18830307</v>
      </c>
      <c r="GN336" s="761">
        <f t="shared" si="1064"/>
        <v>19311075</v>
      </c>
    </row>
    <row r="337" spans="2:196">
      <c r="B337" s="782"/>
      <c r="C337" s="782" t="s">
        <v>1745</v>
      </c>
      <c r="J337" s="771">
        <v>13</v>
      </c>
      <c r="K337" s="775"/>
      <c r="M337" s="775"/>
      <c r="O337" s="775">
        <f t="shared" si="1036"/>
        <v>0</v>
      </c>
      <c r="Q337" s="775"/>
      <c r="S337" s="775"/>
      <c r="U337" s="775">
        <f t="shared" si="1068"/>
        <v>0</v>
      </c>
      <c r="W337" s="775"/>
      <c r="Y337" s="775"/>
      <c r="AA337" s="775">
        <f t="shared" si="1038"/>
        <v>0</v>
      </c>
      <c r="AC337" s="775"/>
      <c r="AE337" s="775"/>
      <c r="AG337" s="775">
        <f t="shared" si="1039"/>
        <v>0</v>
      </c>
      <c r="AI337" s="775">
        <v>591583</v>
      </c>
      <c r="AK337" s="970">
        <v>0</v>
      </c>
      <c r="AM337" s="775"/>
      <c r="AO337" s="775">
        <f t="shared" si="1040"/>
        <v>591583</v>
      </c>
      <c r="AQ337" s="775"/>
      <c r="AS337" s="775"/>
      <c r="AU337" s="775">
        <f t="shared" si="1041"/>
        <v>0</v>
      </c>
      <c r="AW337" s="775"/>
      <c r="AY337" s="775"/>
      <c r="BA337" s="775">
        <f t="shared" si="1042"/>
        <v>0</v>
      </c>
      <c r="BC337" s="775">
        <v>314443</v>
      </c>
      <c r="BE337" s="775"/>
      <c r="BG337" s="775">
        <f t="shared" si="1043"/>
        <v>314443</v>
      </c>
      <c r="BI337" s="775"/>
      <c r="BK337" s="775"/>
      <c r="BM337" s="775">
        <f t="shared" si="1044"/>
        <v>0</v>
      </c>
      <c r="BO337" s="775"/>
      <c r="BQ337" s="970"/>
      <c r="BS337" s="775"/>
      <c r="BU337" s="775">
        <f t="shared" si="1045"/>
        <v>0</v>
      </c>
      <c r="BW337" s="775"/>
      <c r="BZ337" s="970"/>
      <c r="CB337" s="775"/>
      <c r="CD337" s="970"/>
      <c r="CF337" s="775">
        <v>86708</v>
      </c>
      <c r="CH337" s="775">
        <f t="shared" si="1046"/>
        <v>86708</v>
      </c>
      <c r="CJ337" s="775"/>
      <c r="CL337" s="775"/>
      <c r="CN337" s="775">
        <f t="shared" si="1047"/>
        <v>0</v>
      </c>
      <c r="CP337" s="775"/>
      <c r="CR337" s="775"/>
      <c r="CT337" s="775">
        <f t="shared" si="1048"/>
        <v>0</v>
      </c>
      <c r="CV337" s="971"/>
      <c r="CW337" s="968"/>
      <c r="CX337" s="971"/>
      <c r="CY337" s="968"/>
      <c r="CZ337" s="971">
        <f t="shared" si="1049"/>
        <v>0</v>
      </c>
      <c r="DB337" s="775"/>
      <c r="DD337" s="775"/>
      <c r="DF337" s="775">
        <f t="shared" si="1050"/>
        <v>0</v>
      </c>
      <c r="DH337" s="971"/>
      <c r="DI337" s="968"/>
      <c r="DJ337" s="971"/>
      <c r="DK337" s="968"/>
      <c r="DL337" s="971">
        <f t="shared" si="1051"/>
        <v>0</v>
      </c>
      <c r="DN337" s="971"/>
      <c r="DO337" s="968"/>
      <c r="DP337" s="971"/>
      <c r="DQ337" s="968"/>
      <c r="DR337" s="971">
        <f t="shared" si="1052"/>
        <v>0</v>
      </c>
      <c r="DT337" s="775"/>
      <c r="DV337" s="971">
        <v>0</v>
      </c>
      <c r="DX337" s="775"/>
      <c r="DZ337" s="775">
        <f t="shared" si="1053"/>
        <v>0</v>
      </c>
      <c r="EB337" s="775"/>
      <c r="ED337" s="972">
        <v>0</v>
      </c>
      <c r="EF337" s="775"/>
      <c r="EH337" s="775">
        <f t="shared" si="1054"/>
        <v>0</v>
      </c>
      <c r="EJ337" s="775"/>
      <c r="EL337" s="775"/>
      <c r="EN337" s="775">
        <f t="shared" si="1055"/>
        <v>0</v>
      </c>
      <c r="EP337" s="775"/>
      <c r="ER337" s="775"/>
      <c r="ET337" s="775">
        <f t="shared" si="1056"/>
        <v>0</v>
      </c>
      <c r="EV337" s="775">
        <f>EV159+EV181</f>
        <v>1714825</v>
      </c>
      <c r="EX337" s="775">
        <f>EX159+EX181</f>
        <v>-910000</v>
      </c>
      <c r="EZ337" s="775">
        <f t="shared" si="1059"/>
        <v>804825</v>
      </c>
      <c r="FB337" s="775"/>
      <c r="FD337" s="775"/>
      <c r="FF337" s="775"/>
      <c r="FH337" s="775"/>
      <c r="FJ337" s="775">
        <f t="shared" si="1060"/>
        <v>0</v>
      </c>
      <c r="FL337" s="775"/>
      <c r="FN337" s="775"/>
      <c r="FP337" s="775">
        <f t="shared" si="1061"/>
        <v>0</v>
      </c>
      <c r="FR337" s="775">
        <v>0</v>
      </c>
      <c r="FT337" s="775"/>
      <c r="FV337" s="775">
        <f t="shared" si="1062"/>
        <v>0</v>
      </c>
      <c r="FX337" s="971"/>
      <c r="FY337" s="968"/>
      <c r="FZ337" s="971">
        <v>0</v>
      </c>
      <c r="GA337" s="968"/>
      <c r="GB337" s="971">
        <f t="shared" si="1063"/>
        <v>0</v>
      </c>
      <c r="GC337" s="968"/>
      <c r="GD337" s="971"/>
      <c r="GE337" s="968"/>
      <c r="GF337" s="971"/>
      <c r="GG337" s="968"/>
      <c r="GH337" s="971">
        <v>0</v>
      </c>
      <c r="GK337" s="951">
        <f>18149+76485+62976</f>
        <v>157610</v>
      </c>
      <c r="GM337" s="761">
        <f t="shared" si="1065"/>
        <v>1797559</v>
      </c>
      <c r="GN337" s="761">
        <f t="shared" si="1064"/>
        <v>1955169</v>
      </c>
    </row>
    <row r="338" spans="2:196">
      <c r="C338" s="782" t="s">
        <v>512</v>
      </c>
      <c r="J338" s="758">
        <v>14</v>
      </c>
      <c r="K338" s="775"/>
      <c r="M338" s="775"/>
      <c r="O338" s="775">
        <f t="shared" si="1036"/>
        <v>0</v>
      </c>
      <c r="Q338" s="775"/>
      <c r="S338" s="775"/>
      <c r="U338" s="775">
        <f t="shared" si="1037"/>
        <v>0</v>
      </c>
      <c r="W338" s="775"/>
      <c r="Y338" s="775"/>
      <c r="AA338" s="775">
        <f t="shared" si="1038"/>
        <v>0</v>
      </c>
      <c r="AC338" s="775"/>
      <c r="AE338" s="775"/>
      <c r="AG338" s="775">
        <f t="shared" si="1039"/>
        <v>0</v>
      </c>
      <c r="AI338" s="775"/>
      <c r="AK338" s="970">
        <v>0</v>
      </c>
      <c r="AM338" s="775"/>
      <c r="AO338" s="775">
        <f t="shared" si="1040"/>
        <v>0</v>
      </c>
      <c r="AQ338" s="775"/>
      <c r="AS338" s="775"/>
      <c r="AU338" s="775">
        <f t="shared" si="1041"/>
        <v>0</v>
      </c>
      <c r="AW338" s="775"/>
      <c r="AY338" s="775"/>
      <c r="BA338" s="775">
        <f t="shared" si="1042"/>
        <v>0</v>
      </c>
      <c r="BC338" s="775"/>
      <c r="BE338" s="775"/>
      <c r="BG338" s="775">
        <f t="shared" si="1043"/>
        <v>0</v>
      </c>
      <c r="BI338" s="775"/>
      <c r="BK338" s="775"/>
      <c r="BM338" s="775">
        <f t="shared" si="1044"/>
        <v>0</v>
      </c>
      <c r="BO338" s="775"/>
      <c r="BQ338" s="970"/>
      <c r="BS338" s="775"/>
      <c r="BU338" s="775">
        <f t="shared" si="1045"/>
        <v>0</v>
      </c>
      <c r="BW338" s="775"/>
      <c r="BZ338" s="970"/>
      <c r="CB338" s="775"/>
      <c r="CD338" s="970"/>
      <c r="CF338" s="775"/>
      <c r="CH338" s="775">
        <f t="shared" si="1046"/>
        <v>0</v>
      </c>
      <c r="CJ338" s="775"/>
      <c r="CL338" s="775"/>
      <c r="CN338" s="775">
        <f t="shared" si="1047"/>
        <v>0</v>
      </c>
      <c r="CP338" s="775"/>
      <c r="CR338" s="775"/>
      <c r="CT338" s="775">
        <f t="shared" si="1048"/>
        <v>0</v>
      </c>
      <c r="CV338" s="971"/>
      <c r="CW338" s="968"/>
      <c r="CX338" s="971"/>
      <c r="CY338" s="968"/>
      <c r="CZ338" s="971">
        <f t="shared" si="1049"/>
        <v>0</v>
      </c>
      <c r="DB338" s="775"/>
      <c r="DD338" s="775"/>
      <c r="DF338" s="775">
        <f t="shared" si="1050"/>
        <v>0</v>
      </c>
      <c r="DH338" s="971"/>
      <c r="DI338" s="968"/>
      <c r="DJ338" s="971"/>
      <c r="DK338" s="968"/>
      <c r="DL338" s="971">
        <f t="shared" si="1051"/>
        <v>0</v>
      </c>
      <c r="DN338" s="971"/>
      <c r="DO338" s="968"/>
      <c r="DP338" s="971"/>
      <c r="DQ338" s="968"/>
      <c r="DR338" s="971">
        <f t="shared" si="1052"/>
        <v>0</v>
      </c>
      <c r="DT338" s="775"/>
      <c r="DV338" s="971">
        <v>0</v>
      </c>
      <c r="DX338" s="775"/>
      <c r="DZ338" s="775">
        <f t="shared" si="1053"/>
        <v>0</v>
      </c>
      <c r="EB338" s="775"/>
      <c r="ED338" s="972">
        <v>0</v>
      </c>
      <c r="EF338" s="775"/>
      <c r="EH338" s="775">
        <f t="shared" si="1054"/>
        <v>0</v>
      </c>
      <c r="EJ338" s="775"/>
      <c r="EL338" s="775"/>
      <c r="EN338" s="775">
        <f t="shared" si="1055"/>
        <v>0</v>
      </c>
      <c r="EP338" s="775"/>
      <c r="ER338" s="775"/>
      <c r="ET338" s="775">
        <f t="shared" si="1056"/>
        <v>0</v>
      </c>
      <c r="EV338" s="775">
        <f>EV160+EV182</f>
        <v>0</v>
      </c>
      <c r="EX338" s="775"/>
      <c r="EZ338" s="775">
        <f t="shared" si="1059"/>
        <v>0</v>
      </c>
      <c r="FB338" s="775"/>
      <c r="FD338" s="775"/>
      <c r="FF338" s="775"/>
      <c r="FH338" s="775"/>
      <c r="FJ338" s="775">
        <f t="shared" si="1060"/>
        <v>0</v>
      </c>
      <c r="FL338" s="775"/>
      <c r="FN338" s="775"/>
      <c r="FP338" s="775">
        <f t="shared" si="1061"/>
        <v>0</v>
      </c>
      <c r="FR338" s="775">
        <v>0</v>
      </c>
      <c r="FT338" s="775"/>
      <c r="FV338" s="775">
        <f t="shared" si="1062"/>
        <v>0</v>
      </c>
      <c r="FX338" s="971"/>
      <c r="FY338" s="968"/>
      <c r="FZ338" s="971">
        <v>0</v>
      </c>
      <c r="GA338" s="968"/>
      <c r="GB338" s="971">
        <f t="shared" si="1063"/>
        <v>0</v>
      </c>
      <c r="GC338" s="968"/>
      <c r="GD338" s="971"/>
      <c r="GE338" s="968"/>
      <c r="GF338" s="971"/>
      <c r="GG338" s="968"/>
      <c r="GH338" s="971">
        <v>0</v>
      </c>
      <c r="GM338" s="761">
        <f t="shared" si="1065"/>
        <v>0</v>
      </c>
      <c r="GN338" s="761">
        <f t="shared" si="1064"/>
        <v>0</v>
      </c>
    </row>
    <row r="339" spans="2:196" ht="12" customHeight="1">
      <c r="B339" s="782"/>
      <c r="C339" s="782" t="s">
        <v>590</v>
      </c>
      <c r="J339" s="758">
        <v>15</v>
      </c>
      <c r="K339" s="775"/>
      <c r="M339" s="775"/>
      <c r="O339" s="775">
        <f t="shared" si="1036"/>
        <v>0</v>
      </c>
      <c r="Q339" s="775"/>
      <c r="S339" s="775"/>
      <c r="U339" s="775">
        <f t="shared" si="1037"/>
        <v>0</v>
      </c>
      <c r="W339" s="775"/>
      <c r="Y339" s="775"/>
      <c r="AA339" s="775">
        <f t="shared" si="1038"/>
        <v>0</v>
      </c>
      <c r="AC339" s="775"/>
      <c r="AE339" s="775"/>
      <c r="AG339" s="775">
        <f t="shared" si="1039"/>
        <v>0</v>
      </c>
      <c r="AI339" s="775"/>
      <c r="AK339" s="970">
        <v>0</v>
      </c>
      <c r="AM339" s="775"/>
      <c r="AO339" s="775">
        <f t="shared" si="1040"/>
        <v>0</v>
      </c>
      <c r="AQ339" s="775"/>
      <c r="AS339" s="775"/>
      <c r="AU339" s="775">
        <f t="shared" si="1041"/>
        <v>0</v>
      </c>
      <c r="AW339" s="775"/>
      <c r="AY339" s="775"/>
      <c r="BA339" s="775">
        <f t="shared" si="1042"/>
        <v>0</v>
      </c>
      <c r="BC339" s="775"/>
      <c r="BE339" s="775"/>
      <c r="BG339" s="775">
        <f t="shared" si="1043"/>
        <v>0</v>
      </c>
      <c r="BI339" s="775"/>
      <c r="BK339" s="775"/>
      <c r="BM339" s="775">
        <f t="shared" si="1044"/>
        <v>0</v>
      </c>
      <c r="BO339" s="775"/>
      <c r="BQ339" s="970"/>
      <c r="BS339" s="775"/>
      <c r="BU339" s="775">
        <f t="shared" si="1045"/>
        <v>0</v>
      </c>
      <c r="BW339" s="775"/>
      <c r="BZ339" s="970"/>
      <c r="CB339" s="775"/>
      <c r="CD339" s="970"/>
      <c r="CF339" s="775"/>
      <c r="CH339" s="775">
        <f t="shared" si="1046"/>
        <v>0</v>
      </c>
      <c r="CJ339" s="775"/>
      <c r="CL339" s="775"/>
      <c r="CN339" s="775">
        <f t="shared" si="1047"/>
        <v>0</v>
      </c>
      <c r="CP339" s="775"/>
      <c r="CR339" s="775"/>
      <c r="CT339" s="775">
        <f t="shared" si="1048"/>
        <v>0</v>
      </c>
      <c r="CV339" s="971"/>
      <c r="CW339" s="968"/>
      <c r="CX339" s="971"/>
      <c r="CY339" s="968"/>
      <c r="CZ339" s="971">
        <f t="shared" si="1049"/>
        <v>0</v>
      </c>
      <c r="DB339" s="775"/>
      <c r="DD339" s="775"/>
      <c r="DF339" s="775">
        <f t="shared" si="1050"/>
        <v>0</v>
      </c>
      <c r="DH339" s="971"/>
      <c r="DI339" s="968"/>
      <c r="DJ339" s="971"/>
      <c r="DK339" s="968"/>
      <c r="DL339" s="971">
        <f t="shared" si="1051"/>
        <v>0</v>
      </c>
      <c r="DN339" s="971"/>
      <c r="DO339" s="968"/>
      <c r="DP339" s="971"/>
      <c r="DQ339" s="968"/>
      <c r="DR339" s="971">
        <f t="shared" si="1052"/>
        <v>0</v>
      </c>
      <c r="DT339" s="775"/>
      <c r="DV339" s="971">
        <v>0</v>
      </c>
      <c r="DX339" s="775"/>
      <c r="DZ339" s="775">
        <f t="shared" si="1053"/>
        <v>0</v>
      </c>
      <c r="EB339" s="775"/>
      <c r="ED339" s="972">
        <v>0</v>
      </c>
      <c r="EF339" s="775"/>
      <c r="EH339" s="775">
        <f t="shared" si="1054"/>
        <v>0</v>
      </c>
      <c r="EJ339" s="775"/>
      <c r="EL339" s="775"/>
      <c r="EN339" s="775">
        <f t="shared" si="1055"/>
        <v>0</v>
      </c>
      <c r="EP339" s="775"/>
      <c r="ER339" s="775"/>
      <c r="ET339" s="775">
        <f t="shared" si="1056"/>
        <v>0</v>
      </c>
      <c r="EV339" s="775">
        <f>EV161+EV183</f>
        <v>0</v>
      </c>
      <c r="EX339" s="775"/>
      <c r="EZ339" s="775">
        <f t="shared" si="1059"/>
        <v>0</v>
      </c>
      <c r="FB339" s="775">
        <v>0</v>
      </c>
      <c r="FD339" s="775"/>
      <c r="FF339" s="775"/>
      <c r="FH339" s="775"/>
      <c r="FJ339" s="775">
        <f t="shared" si="1060"/>
        <v>0</v>
      </c>
      <c r="FL339" s="775"/>
      <c r="FN339" s="775"/>
      <c r="FP339" s="775">
        <f t="shared" si="1061"/>
        <v>0</v>
      </c>
      <c r="FR339" s="775">
        <v>0</v>
      </c>
      <c r="FT339" s="775"/>
      <c r="FV339" s="775">
        <f t="shared" si="1062"/>
        <v>0</v>
      </c>
      <c r="FX339" s="971"/>
      <c r="FY339" s="968"/>
      <c r="FZ339" s="971">
        <v>0</v>
      </c>
      <c r="GA339" s="968"/>
      <c r="GB339" s="971">
        <f t="shared" si="1063"/>
        <v>0</v>
      </c>
      <c r="GC339" s="968"/>
      <c r="GD339" s="971"/>
      <c r="GE339" s="968"/>
      <c r="GF339" s="971"/>
      <c r="GG339" s="968"/>
      <c r="GH339" s="971">
        <v>0</v>
      </c>
      <c r="GM339" s="761">
        <f t="shared" si="1065"/>
        <v>0</v>
      </c>
      <c r="GN339" s="761">
        <f t="shared" si="1064"/>
        <v>0</v>
      </c>
    </row>
    <row r="340" spans="2:196">
      <c r="C340" s="758" t="s">
        <v>437</v>
      </c>
      <c r="J340" s="771">
        <v>16</v>
      </c>
      <c r="K340" s="775"/>
      <c r="M340" s="775"/>
      <c r="O340" s="775">
        <f t="shared" si="1036"/>
        <v>0</v>
      </c>
      <c r="Q340" s="775"/>
      <c r="S340" s="775"/>
      <c r="U340" s="775">
        <f t="shared" si="1037"/>
        <v>0</v>
      </c>
      <c r="W340" s="775"/>
      <c r="Y340" s="775"/>
      <c r="AA340" s="775">
        <f t="shared" si="1038"/>
        <v>0</v>
      </c>
      <c r="AC340" s="775"/>
      <c r="AE340" s="775"/>
      <c r="AG340" s="775">
        <f t="shared" si="1039"/>
        <v>0</v>
      </c>
      <c r="AI340" s="775"/>
      <c r="AK340" s="970">
        <v>0</v>
      </c>
      <c r="AM340" s="775"/>
      <c r="AO340" s="775">
        <f t="shared" si="1040"/>
        <v>0</v>
      </c>
      <c r="AQ340" s="775"/>
      <c r="AS340" s="775"/>
      <c r="AU340" s="775">
        <f t="shared" si="1041"/>
        <v>0</v>
      </c>
      <c r="AW340" s="775">
        <v>89141</v>
      </c>
      <c r="AY340" s="775"/>
      <c r="BA340" s="775">
        <f t="shared" si="1042"/>
        <v>89141</v>
      </c>
      <c r="BC340" s="775"/>
      <c r="BE340" s="775"/>
      <c r="BG340" s="775">
        <f t="shared" si="1043"/>
        <v>0</v>
      </c>
      <c r="BI340" s="775"/>
      <c r="BK340" s="775"/>
      <c r="BM340" s="775">
        <f t="shared" si="1044"/>
        <v>0</v>
      </c>
      <c r="BO340" s="775"/>
      <c r="BQ340" s="970"/>
      <c r="BS340" s="775"/>
      <c r="BU340" s="775">
        <f t="shared" si="1045"/>
        <v>0</v>
      </c>
      <c r="BW340" s="775"/>
      <c r="BZ340" s="970"/>
      <c r="CB340" s="775"/>
      <c r="CD340" s="970"/>
      <c r="CF340" s="775"/>
      <c r="CH340" s="775">
        <f t="shared" si="1046"/>
        <v>0</v>
      </c>
      <c r="CJ340" s="775"/>
      <c r="CL340" s="775"/>
      <c r="CN340" s="775">
        <f t="shared" si="1047"/>
        <v>0</v>
      </c>
      <c r="CP340" s="775"/>
      <c r="CR340" s="775"/>
      <c r="CT340" s="775">
        <f t="shared" si="1048"/>
        <v>0</v>
      </c>
      <c r="CV340" s="971"/>
      <c r="CW340" s="968"/>
      <c r="CX340" s="971"/>
      <c r="CY340" s="968"/>
      <c r="CZ340" s="971">
        <f t="shared" si="1049"/>
        <v>0</v>
      </c>
      <c r="DB340" s="776"/>
      <c r="DD340" s="775"/>
      <c r="DF340" s="775">
        <f t="shared" si="1050"/>
        <v>0</v>
      </c>
      <c r="DH340" s="971"/>
      <c r="DI340" s="968"/>
      <c r="DJ340" s="971"/>
      <c r="DK340" s="968"/>
      <c r="DL340" s="971">
        <f t="shared" si="1051"/>
        <v>0</v>
      </c>
      <c r="DN340" s="971"/>
      <c r="DO340" s="968"/>
      <c r="DP340" s="971"/>
      <c r="DQ340" s="968"/>
      <c r="DR340" s="971">
        <f t="shared" si="1052"/>
        <v>0</v>
      </c>
      <c r="DT340" s="775"/>
      <c r="DV340" s="971">
        <v>0</v>
      </c>
      <c r="DX340" s="775"/>
      <c r="DZ340" s="775">
        <f t="shared" si="1053"/>
        <v>0</v>
      </c>
      <c r="EB340" s="775"/>
      <c r="ED340" s="972">
        <v>0</v>
      </c>
      <c r="EF340" s="775"/>
      <c r="EH340" s="775">
        <f t="shared" si="1054"/>
        <v>0</v>
      </c>
      <c r="EJ340" s="776"/>
      <c r="EL340" s="775"/>
      <c r="EN340" s="775">
        <f t="shared" si="1055"/>
        <v>0</v>
      </c>
      <c r="EP340" s="775">
        <v>113844901</v>
      </c>
      <c r="ER340" s="775"/>
      <c r="ET340" s="775">
        <f t="shared" si="1056"/>
        <v>113844901</v>
      </c>
      <c r="EV340" s="775"/>
      <c r="EX340" s="775"/>
      <c r="EZ340" s="775">
        <f t="shared" si="1059"/>
        <v>0</v>
      </c>
      <c r="FB340" s="775"/>
      <c r="FD340" s="775"/>
      <c r="FF340" s="775"/>
      <c r="FH340" s="775"/>
      <c r="FJ340" s="775">
        <f t="shared" si="1060"/>
        <v>0</v>
      </c>
      <c r="FL340" s="775"/>
      <c r="FN340" s="775"/>
      <c r="FP340" s="775">
        <f t="shared" si="1061"/>
        <v>0</v>
      </c>
      <c r="FR340" s="775">
        <v>0</v>
      </c>
      <c r="FT340" s="775"/>
      <c r="FV340" s="775">
        <f t="shared" si="1062"/>
        <v>0</v>
      </c>
      <c r="FX340" s="971"/>
      <c r="FY340" s="968"/>
      <c r="FZ340" s="971">
        <v>0</v>
      </c>
      <c r="GA340" s="968"/>
      <c r="GB340" s="971">
        <f t="shared" si="1063"/>
        <v>0</v>
      </c>
      <c r="GC340" s="968"/>
      <c r="GD340" s="971"/>
      <c r="GE340" s="968"/>
      <c r="GF340" s="971"/>
      <c r="GG340" s="968"/>
      <c r="GH340" s="971">
        <v>0</v>
      </c>
      <c r="GM340" s="761">
        <f t="shared" si="1065"/>
        <v>113934042</v>
      </c>
      <c r="GN340" s="761">
        <f t="shared" si="1064"/>
        <v>113934042</v>
      </c>
    </row>
    <row r="341" spans="2:196">
      <c r="C341" s="758" t="s">
        <v>437</v>
      </c>
      <c r="J341" s="758">
        <v>17</v>
      </c>
      <c r="K341" s="775"/>
      <c r="M341" s="775"/>
      <c r="O341" s="775">
        <f t="shared" si="1036"/>
        <v>0</v>
      </c>
      <c r="Q341" s="775"/>
      <c r="S341" s="775"/>
      <c r="U341" s="775">
        <f t="shared" si="1037"/>
        <v>0</v>
      </c>
      <c r="W341" s="775"/>
      <c r="Y341" s="775"/>
      <c r="AA341" s="775">
        <f t="shared" si="1038"/>
        <v>0</v>
      </c>
      <c r="AC341" s="775"/>
      <c r="AE341" s="775"/>
      <c r="AG341" s="775">
        <f t="shared" si="1039"/>
        <v>0</v>
      </c>
      <c r="AI341" s="775"/>
      <c r="AK341" s="970">
        <v>0</v>
      </c>
      <c r="AM341" s="775"/>
      <c r="AO341" s="775">
        <f t="shared" si="1040"/>
        <v>0</v>
      </c>
      <c r="AQ341" s="775"/>
      <c r="AS341" s="775"/>
      <c r="AU341" s="775">
        <f t="shared" si="1041"/>
        <v>0</v>
      </c>
      <c r="AW341" s="775"/>
      <c r="AY341" s="775"/>
      <c r="BA341" s="775">
        <f t="shared" si="1042"/>
        <v>0</v>
      </c>
      <c r="BC341" s="775"/>
      <c r="BE341" s="775"/>
      <c r="BG341" s="775">
        <f t="shared" si="1043"/>
        <v>0</v>
      </c>
      <c r="BI341" s="775"/>
      <c r="BK341" s="775"/>
      <c r="BM341" s="775">
        <f t="shared" si="1044"/>
        <v>0</v>
      </c>
      <c r="BO341" s="775"/>
      <c r="BQ341" s="970"/>
      <c r="BS341" s="775"/>
      <c r="BU341" s="775">
        <f t="shared" si="1045"/>
        <v>0</v>
      </c>
      <c r="BW341" s="775"/>
      <c r="BZ341" s="970"/>
      <c r="CB341" s="775"/>
      <c r="CD341" s="970"/>
      <c r="CF341" s="775"/>
      <c r="CH341" s="775">
        <f t="shared" si="1046"/>
        <v>0</v>
      </c>
      <c r="CJ341" s="775"/>
      <c r="CL341" s="775"/>
      <c r="CN341" s="775">
        <f t="shared" si="1047"/>
        <v>0</v>
      </c>
      <c r="CP341" s="775"/>
      <c r="CR341" s="775"/>
      <c r="CT341" s="775">
        <f t="shared" si="1048"/>
        <v>0</v>
      </c>
      <c r="CV341" s="971"/>
      <c r="CW341" s="968"/>
      <c r="CX341" s="971"/>
      <c r="CY341" s="968"/>
      <c r="CZ341" s="971">
        <f t="shared" si="1049"/>
        <v>0</v>
      </c>
      <c r="DB341" s="775"/>
      <c r="DD341" s="775"/>
      <c r="DF341" s="775">
        <f t="shared" si="1050"/>
        <v>0</v>
      </c>
      <c r="DH341" s="971"/>
      <c r="DI341" s="968"/>
      <c r="DJ341" s="971"/>
      <c r="DK341" s="968"/>
      <c r="DL341" s="971">
        <f t="shared" si="1051"/>
        <v>0</v>
      </c>
      <c r="DN341" s="971"/>
      <c r="DO341" s="968"/>
      <c r="DP341" s="971"/>
      <c r="DQ341" s="968"/>
      <c r="DR341" s="971">
        <f t="shared" si="1052"/>
        <v>0</v>
      </c>
      <c r="DT341" s="775"/>
      <c r="DV341" s="971">
        <v>0</v>
      </c>
      <c r="DX341" s="775"/>
      <c r="DZ341" s="775">
        <f t="shared" si="1053"/>
        <v>0</v>
      </c>
      <c r="EB341" s="775"/>
      <c r="ED341" s="972">
        <v>0</v>
      </c>
      <c r="EF341" s="775"/>
      <c r="EH341" s="775">
        <f t="shared" si="1054"/>
        <v>0</v>
      </c>
      <c r="EJ341" s="776"/>
      <c r="EL341" s="775"/>
      <c r="EN341" s="775">
        <f t="shared" si="1055"/>
        <v>0</v>
      </c>
      <c r="EP341" s="775">
        <v>11312423</v>
      </c>
      <c r="ER341" s="775">
        <v>-11312423</v>
      </c>
      <c r="ET341" s="775">
        <f t="shared" si="1056"/>
        <v>0</v>
      </c>
      <c r="EV341" s="775"/>
      <c r="EX341" s="775"/>
      <c r="EZ341" s="775">
        <f t="shared" si="1059"/>
        <v>0</v>
      </c>
      <c r="FB341" s="775">
        <v>0</v>
      </c>
      <c r="FD341" s="775"/>
      <c r="FF341" s="775"/>
      <c r="FH341" s="775"/>
      <c r="FJ341" s="775">
        <f t="shared" si="1060"/>
        <v>0</v>
      </c>
      <c r="FL341" s="775"/>
      <c r="FN341" s="775"/>
      <c r="FP341" s="775">
        <f t="shared" si="1061"/>
        <v>0</v>
      </c>
      <c r="FR341" s="775">
        <v>0</v>
      </c>
      <c r="FT341" s="775"/>
      <c r="FV341" s="775">
        <f t="shared" si="1062"/>
        <v>0</v>
      </c>
      <c r="FX341" s="971"/>
      <c r="FY341" s="968"/>
      <c r="FZ341" s="971">
        <v>0</v>
      </c>
      <c r="GA341" s="968"/>
      <c r="GB341" s="971">
        <f t="shared" si="1063"/>
        <v>0</v>
      </c>
      <c r="GC341" s="968"/>
      <c r="GD341" s="971"/>
      <c r="GE341" s="968"/>
      <c r="GF341" s="971"/>
      <c r="GG341" s="968"/>
      <c r="GH341" s="971">
        <v>0</v>
      </c>
      <c r="GM341" s="761">
        <f t="shared" si="1065"/>
        <v>0</v>
      </c>
      <c r="GN341" s="761">
        <f t="shared" si="1064"/>
        <v>0</v>
      </c>
    </row>
    <row r="342" spans="2:196">
      <c r="C342" s="758" t="s">
        <v>437</v>
      </c>
      <c r="J342" s="771">
        <v>18</v>
      </c>
      <c r="K342" s="775"/>
      <c r="M342" s="775"/>
      <c r="O342" s="775">
        <f t="shared" si="1036"/>
        <v>0</v>
      </c>
      <c r="Q342" s="775"/>
      <c r="S342" s="775"/>
      <c r="U342" s="775">
        <f t="shared" si="1037"/>
        <v>0</v>
      </c>
      <c r="W342" s="775"/>
      <c r="Y342" s="775"/>
      <c r="AA342" s="775">
        <f t="shared" si="1038"/>
        <v>0</v>
      </c>
      <c r="AC342" s="775"/>
      <c r="AE342" s="775"/>
      <c r="AG342" s="775">
        <f t="shared" si="1039"/>
        <v>0</v>
      </c>
      <c r="AI342" s="775"/>
      <c r="AK342" s="970">
        <v>0</v>
      </c>
      <c r="AM342" s="775"/>
      <c r="AO342" s="775">
        <f t="shared" si="1040"/>
        <v>0</v>
      </c>
      <c r="AQ342" s="775"/>
      <c r="AS342" s="775"/>
      <c r="AU342" s="775">
        <f t="shared" si="1041"/>
        <v>0</v>
      </c>
      <c r="AW342" s="775"/>
      <c r="AY342" s="775"/>
      <c r="BA342" s="775">
        <f t="shared" si="1042"/>
        <v>0</v>
      </c>
      <c r="BC342" s="775"/>
      <c r="BE342" s="775"/>
      <c r="BG342" s="775">
        <f t="shared" si="1043"/>
        <v>0</v>
      </c>
      <c r="BI342" s="775"/>
      <c r="BK342" s="775"/>
      <c r="BM342" s="775">
        <f t="shared" si="1044"/>
        <v>0</v>
      </c>
      <c r="BO342" s="775"/>
      <c r="BQ342" s="970"/>
      <c r="BS342" s="775"/>
      <c r="BU342" s="775">
        <f t="shared" si="1045"/>
        <v>0</v>
      </c>
      <c r="BW342" s="775"/>
      <c r="BZ342" s="970"/>
      <c r="CB342" s="775"/>
      <c r="CD342" s="970"/>
      <c r="CF342" s="775"/>
      <c r="CH342" s="775">
        <f t="shared" si="1046"/>
        <v>0</v>
      </c>
      <c r="CJ342" s="775"/>
      <c r="CL342" s="775"/>
      <c r="CN342" s="775">
        <f t="shared" si="1047"/>
        <v>0</v>
      </c>
      <c r="CP342" s="775"/>
      <c r="CR342" s="775"/>
      <c r="CT342" s="775">
        <f t="shared" si="1048"/>
        <v>0</v>
      </c>
      <c r="CV342" s="971"/>
      <c r="CW342" s="968"/>
      <c r="CX342" s="971"/>
      <c r="CY342" s="968"/>
      <c r="CZ342" s="971">
        <f t="shared" si="1049"/>
        <v>0</v>
      </c>
      <c r="DB342" s="775"/>
      <c r="DD342" s="775"/>
      <c r="DF342" s="775">
        <f t="shared" si="1050"/>
        <v>0</v>
      </c>
      <c r="DH342" s="971"/>
      <c r="DI342" s="968"/>
      <c r="DJ342" s="971"/>
      <c r="DK342" s="968"/>
      <c r="DL342" s="971">
        <f t="shared" si="1051"/>
        <v>0</v>
      </c>
      <c r="DN342" s="971"/>
      <c r="DO342" s="968"/>
      <c r="DP342" s="971"/>
      <c r="DQ342" s="968"/>
      <c r="DR342" s="971">
        <f t="shared" si="1052"/>
        <v>0</v>
      </c>
      <c r="DT342" s="775"/>
      <c r="DV342" s="971">
        <v>0</v>
      </c>
      <c r="DX342" s="775"/>
      <c r="DZ342" s="775">
        <f t="shared" si="1053"/>
        <v>0</v>
      </c>
      <c r="EB342" s="775"/>
      <c r="ED342" s="972">
        <v>0</v>
      </c>
      <c r="EF342" s="775"/>
      <c r="EH342" s="775">
        <f t="shared" si="1054"/>
        <v>0</v>
      </c>
      <c r="EJ342" s="776"/>
      <c r="EL342" s="775"/>
      <c r="EN342" s="775">
        <f t="shared" si="1055"/>
        <v>0</v>
      </c>
      <c r="EP342" s="775">
        <v>34022078</v>
      </c>
      <c r="ER342" s="775"/>
      <c r="ET342" s="775">
        <f t="shared" si="1056"/>
        <v>34022078</v>
      </c>
      <c r="EV342" s="775"/>
      <c r="EX342" s="775"/>
      <c r="EZ342" s="775">
        <f t="shared" si="1059"/>
        <v>0</v>
      </c>
      <c r="FB342" s="775">
        <v>0</v>
      </c>
      <c r="FD342" s="775"/>
      <c r="FF342" s="775"/>
      <c r="FH342" s="775"/>
      <c r="FJ342" s="775">
        <f t="shared" si="1060"/>
        <v>0</v>
      </c>
      <c r="FL342" s="775"/>
      <c r="FN342" s="775"/>
      <c r="FP342" s="775">
        <f t="shared" si="1061"/>
        <v>0</v>
      </c>
      <c r="FR342" s="775">
        <v>0</v>
      </c>
      <c r="FT342" s="775"/>
      <c r="FV342" s="775">
        <f t="shared" si="1062"/>
        <v>0</v>
      </c>
      <c r="FX342" s="971"/>
      <c r="FY342" s="968"/>
      <c r="FZ342" s="971">
        <v>0</v>
      </c>
      <c r="GA342" s="968"/>
      <c r="GB342" s="971">
        <f t="shared" si="1063"/>
        <v>0</v>
      </c>
      <c r="GC342" s="968"/>
      <c r="GD342" s="971"/>
      <c r="GE342" s="968"/>
      <c r="GF342" s="971"/>
      <c r="GG342" s="968"/>
      <c r="GH342" s="971">
        <v>0</v>
      </c>
      <c r="GM342" s="761">
        <f t="shared" si="1065"/>
        <v>34022078</v>
      </c>
      <c r="GN342" s="761">
        <f t="shared" si="1064"/>
        <v>34022078</v>
      </c>
    </row>
    <row r="343" spans="2:196" ht="12" thickBot="1">
      <c r="C343" s="758" t="s">
        <v>437</v>
      </c>
      <c r="J343" s="758">
        <v>19</v>
      </c>
      <c r="K343" s="775"/>
      <c r="M343" s="775"/>
      <c r="O343" s="775">
        <f t="shared" si="1036"/>
        <v>0</v>
      </c>
      <c r="Q343" s="775"/>
      <c r="S343" s="775"/>
      <c r="U343" s="775">
        <f t="shared" si="1037"/>
        <v>0</v>
      </c>
      <c r="W343" s="775"/>
      <c r="Y343" s="775"/>
      <c r="AA343" s="775">
        <f t="shared" si="1038"/>
        <v>0</v>
      </c>
      <c r="AC343" s="775"/>
      <c r="AE343" s="775"/>
      <c r="AG343" s="775">
        <f t="shared" si="1039"/>
        <v>0</v>
      </c>
      <c r="AI343" s="775"/>
      <c r="AK343" s="970">
        <v>0</v>
      </c>
      <c r="AM343" s="775"/>
      <c r="AO343" s="775">
        <f t="shared" si="1040"/>
        <v>0</v>
      </c>
      <c r="AQ343" s="775"/>
      <c r="AS343" s="775"/>
      <c r="AU343" s="775">
        <f t="shared" si="1041"/>
        <v>0</v>
      </c>
      <c r="AW343" s="775"/>
      <c r="AY343" s="775"/>
      <c r="BA343" s="775">
        <f t="shared" si="1042"/>
        <v>0</v>
      </c>
      <c r="BC343" s="775"/>
      <c r="BE343" s="775"/>
      <c r="BG343" s="775">
        <f t="shared" si="1043"/>
        <v>0</v>
      </c>
      <c r="BI343" s="775">
        <v>0</v>
      </c>
      <c r="BK343" s="775"/>
      <c r="BM343" s="775">
        <f t="shared" si="1044"/>
        <v>0</v>
      </c>
      <c r="BO343" s="775"/>
      <c r="BQ343" s="970"/>
      <c r="BS343" s="775"/>
      <c r="BU343" s="775">
        <f t="shared" si="1045"/>
        <v>0</v>
      </c>
      <c r="BW343" s="775"/>
      <c r="BZ343" s="970"/>
      <c r="CB343" s="775"/>
      <c r="CD343" s="970"/>
      <c r="CF343" s="775"/>
      <c r="CH343" s="775">
        <f t="shared" si="1046"/>
        <v>0</v>
      </c>
      <c r="CJ343" s="775"/>
      <c r="CL343" s="775"/>
      <c r="CN343" s="775">
        <f t="shared" si="1047"/>
        <v>0</v>
      </c>
      <c r="CP343" s="775"/>
      <c r="CR343" s="775"/>
      <c r="CT343" s="775">
        <f t="shared" si="1048"/>
        <v>0</v>
      </c>
      <c r="CV343" s="971"/>
      <c r="CW343" s="968"/>
      <c r="CX343" s="971"/>
      <c r="CY343" s="968"/>
      <c r="CZ343" s="971">
        <f t="shared" si="1049"/>
        <v>0</v>
      </c>
      <c r="DB343" s="775"/>
      <c r="DD343" s="775"/>
      <c r="DF343" s="775">
        <f t="shared" si="1050"/>
        <v>0</v>
      </c>
      <c r="DH343" s="971"/>
      <c r="DI343" s="968"/>
      <c r="DJ343" s="971"/>
      <c r="DK343" s="968"/>
      <c r="DL343" s="971">
        <f t="shared" si="1051"/>
        <v>0</v>
      </c>
      <c r="DN343" s="971"/>
      <c r="DO343" s="968"/>
      <c r="DP343" s="971"/>
      <c r="DQ343" s="968"/>
      <c r="DR343" s="971">
        <f t="shared" si="1052"/>
        <v>0</v>
      </c>
      <c r="DT343" s="775"/>
      <c r="DV343" s="971">
        <v>0</v>
      </c>
      <c r="DX343" s="775"/>
      <c r="DZ343" s="775">
        <f t="shared" si="1053"/>
        <v>0</v>
      </c>
      <c r="EB343" s="775"/>
      <c r="ED343" s="972">
        <v>0</v>
      </c>
      <c r="EF343" s="775"/>
      <c r="EH343" s="775">
        <f t="shared" si="1054"/>
        <v>0</v>
      </c>
      <c r="EJ343" s="776"/>
      <c r="EL343" s="775"/>
      <c r="EN343" s="775">
        <f t="shared" si="1055"/>
        <v>0</v>
      </c>
      <c r="EP343" s="775"/>
      <c r="ER343" s="775"/>
      <c r="ET343" s="775">
        <f t="shared" si="1056"/>
        <v>0</v>
      </c>
      <c r="EV343" s="775"/>
      <c r="EX343" s="775"/>
      <c r="EZ343" s="775">
        <f t="shared" si="1059"/>
        <v>0</v>
      </c>
      <c r="FB343" s="775">
        <v>0</v>
      </c>
      <c r="FD343" s="775"/>
      <c r="FF343" s="775"/>
      <c r="FH343" s="775"/>
      <c r="FJ343" s="775">
        <f t="shared" si="1060"/>
        <v>0</v>
      </c>
      <c r="FL343" s="775"/>
      <c r="FN343" s="775"/>
      <c r="FP343" s="775">
        <f t="shared" si="1061"/>
        <v>0</v>
      </c>
      <c r="FR343" s="775"/>
      <c r="FT343" s="775"/>
      <c r="FV343" s="775">
        <f t="shared" si="1062"/>
        <v>0</v>
      </c>
      <c r="FX343" s="971"/>
      <c r="FY343" s="968"/>
      <c r="FZ343" s="971">
        <v>0</v>
      </c>
      <c r="GA343" s="968"/>
      <c r="GB343" s="971">
        <f t="shared" si="1063"/>
        <v>0</v>
      </c>
      <c r="GC343" s="968"/>
      <c r="GD343" s="971"/>
      <c r="GE343" s="968"/>
      <c r="GF343" s="971"/>
      <c r="GG343" s="968"/>
      <c r="GH343" s="971">
        <v>0</v>
      </c>
      <c r="GM343" s="761">
        <f t="shared" si="1065"/>
        <v>0</v>
      </c>
      <c r="GN343" s="761">
        <f t="shared" si="1064"/>
        <v>0</v>
      </c>
    </row>
    <row r="344" spans="2:196" ht="12" thickBot="1">
      <c r="H344" s="765" t="s">
        <v>97</v>
      </c>
      <c r="J344" s="771">
        <v>20</v>
      </c>
      <c r="K344" s="784">
        <f>SUM(K327:K343)</f>
        <v>0</v>
      </c>
      <c r="M344" s="784">
        <f>SUM(M327:M343)</f>
        <v>0</v>
      </c>
      <c r="O344" s="784">
        <f>SUM(O327:O343)</f>
        <v>0</v>
      </c>
      <c r="Q344" s="784">
        <f>SUM(Q327:Q343)</f>
        <v>800042</v>
      </c>
      <c r="S344" s="784">
        <f>SUM(S327:S343)</f>
        <v>0</v>
      </c>
      <c r="U344" s="784">
        <f>SUM(U327:U343)</f>
        <v>800042</v>
      </c>
      <c r="W344" s="784">
        <f>SUM(W327:W343)</f>
        <v>197502</v>
      </c>
      <c r="Y344" s="784">
        <f>SUM(Y327:Y343)</f>
        <v>0</v>
      </c>
      <c r="AA344" s="784">
        <f>SUM(AA327:AA343)</f>
        <v>197502</v>
      </c>
      <c r="AC344" s="784">
        <f>SUM(AC327:AC343)</f>
        <v>0</v>
      </c>
      <c r="AE344" s="784">
        <f>SUM(AE327:AE343)</f>
        <v>0</v>
      </c>
      <c r="AG344" s="784">
        <f>SUM(AG327:AG343)</f>
        <v>0</v>
      </c>
      <c r="AI344" s="784">
        <f>SUM(AI327:AI343)</f>
        <v>34436340</v>
      </c>
      <c r="AK344" s="983">
        <f>SUM(AK327:AK343)</f>
        <v>0</v>
      </c>
      <c r="AM344" s="784">
        <f>SUM(AM327:AM343)</f>
        <v>0</v>
      </c>
      <c r="AO344" s="784">
        <f>SUM(AO327:AO343)</f>
        <v>34436340</v>
      </c>
      <c r="AQ344" s="784">
        <f>SUM(AQ327:AQ343)</f>
        <v>0</v>
      </c>
      <c r="AS344" s="784">
        <f>SUM(AS327:AS343)</f>
        <v>0</v>
      </c>
      <c r="AU344" s="784">
        <f>SUM(AU327:AU343)</f>
        <v>0</v>
      </c>
      <c r="AW344" s="784">
        <f>SUM(AW327:AW343)</f>
        <v>89141</v>
      </c>
      <c r="AY344" s="784">
        <f>SUM(AY327:AY343)</f>
        <v>0</v>
      </c>
      <c r="BA344" s="784">
        <f>SUM(BA327:BA343)</f>
        <v>89141</v>
      </c>
      <c r="BC344" s="784">
        <f>SUM(BC327:BC343)</f>
        <v>7640315</v>
      </c>
      <c r="BE344" s="784">
        <f>SUM(BE327:BE343)</f>
        <v>0</v>
      </c>
      <c r="BG344" s="784">
        <f>SUM(BG327:BG343)</f>
        <v>7640315</v>
      </c>
      <c r="BI344" s="784">
        <f>SUM(BI327:BI343)</f>
        <v>95270</v>
      </c>
      <c r="BK344" s="784">
        <f>SUM(BK327:BK343)</f>
        <v>0</v>
      </c>
      <c r="BM344" s="784">
        <f>SUM(BM327:BM343)</f>
        <v>95270</v>
      </c>
      <c r="BO344" s="784">
        <f>SUM(BO327:BO343)</f>
        <v>170806</v>
      </c>
      <c r="BQ344" s="983">
        <f>SUM(BQ327:BQ343)</f>
        <v>0</v>
      </c>
      <c r="BS344" s="784">
        <f>SUM(BS327:BS343)</f>
        <v>0</v>
      </c>
      <c r="BU344" s="784">
        <f>SUM(BU327:BU343)</f>
        <v>170806</v>
      </c>
      <c r="BW344" s="784">
        <f>SUM(BW327:BW343)</f>
        <v>2111827</v>
      </c>
      <c r="BZ344" s="983">
        <f>SUM(BZ327:BZ343)</f>
        <v>0</v>
      </c>
      <c r="CB344" s="784">
        <f>SUM(CB327:CB343)</f>
        <v>0</v>
      </c>
      <c r="CD344" s="983">
        <f>SUM(CD327:CD343)</f>
        <v>0</v>
      </c>
      <c r="CF344" s="784">
        <f>SUM(CF327:CF343)</f>
        <v>0</v>
      </c>
      <c r="CH344" s="784">
        <f>SUM(CH327:CH343)</f>
        <v>2111827</v>
      </c>
      <c r="CJ344" s="784">
        <f>SUM(CJ327:CJ343)</f>
        <v>0</v>
      </c>
      <c r="CL344" s="784">
        <f>SUM(CL327:CL343)</f>
        <v>0</v>
      </c>
      <c r="CN344" s="784">
        <f>SUM(CN327:CN343)</f>
        <v>0</v>
      </c>
      <c r="CP344" s="784">
        <f>SUM(CP327:CP343)</f>
        <v>742266</v>
      </c>
      <c r="CR344" s="784">
        <f>SUM(CR327:CR343)</f>
        <v>0</v>
      </c>
      <c r="CT344" s="784">
        <f>SUM(CT327:CT343)</f>
        <v>742266</v>
      </c>
      <c r="CV344" s="984">
        <f>SUM(CV327:CV343)</f>
        <v>0</v>
      </c>
      <c r="CW344" s="968"/>
      <c r="CX344" s="984">
        <f>SUM(CX327:CX343)</f>
        <v>0</v>
      </c>
      <c r="CY344" s="968"/>
      <c r="CZ344" s="984">
        <f>SUM(CZ327:CZ343)</f>
        <v>0</v>
      </c>
      <c r="DB344" s="784">
        <f>SUM(DB327:DB343)</f>
        <v>1089975000</v>
      </c>
      <c r="DD344" s="784">
        <f>SUM(DD327:DD343)</f>
        <v>0</v>
      </c>
      <c r="DF344" s="784">
        <f>SUM(DF327:DF343)</f>
        <v>1089975000</v>
      </c>
      <c r="DH344" s="984">
        <f>SUM(DH327:DH343)</f>
        <v>0</v>
      </c>
      <c r="DI344" s="968"/>
      <c r="DJ344" s="984">
        <f>SUM(DJ327:DJ343)</f>
        <v>0</v>
      </c>
      <c r="DK344" s="968"/>
      <c r="DL344" s="984">
        <f>SUM(DL327:DL343)</f>
        <v>0</v>
      </c>
      <c r="DN344" s="984">
        <f>SUM(DN327:DN343)</f>
        <v>0</v>
      </c>
      <c r="DO344" s="968"/>
      <c r="DP344" s="984">
        <f>SUM(DP327:DP343)</f>
        <v>0</v>
      </c>
      <c r="DQ344" s="968"/>
      <c r="DR344" s="984">
        <f>SUM(DR327:DR343)</f>
        <v>0</v>
      </c>
      <c r="DT344" s="784">
        <f>SUM(DT327:DT343)</f>
        <v>92048</v>
      </c>
      <c r="DV344" s="984">
        <f>SUM(DV327:DV343)</f>
        <v>0</v>
      </c>
      <c r="DX344" s="784">
        <f>SUM(DX327:DX343)</f>
        <v>0</v>
      </c>
      <c r="DZ344" s="784">
        <f>SUM(DZ327:DZ343)</f>
        <v>92048</v>
      </c>
      <c r="EB344" s="784">
        <f>SUM(EB327:EB343)</f>
        <v>2389071</v>
      </c>
      <c r="ED344" s="985">
        <f>SUM(ED327:ED343)</f>
        <v>0</v>
      </c>
      <c r="EF344" s="784">
        <f>SUM(EF327:EF343)</f>
        <v>0</v>
      </c>
      <c r="EH344" s="784">
        <f>SUM(EH327:EH343)</f>
        <v>2389071</v>
      </c>
      <c r="EJ344" s="784">
        <f>SUM(EJ327:EJ343)</f>
        <v>3294011646</v>
      </c>
      <c r="EL344" s="784">
        <f>SUM(EL327:EL343)</f>
        <v>0</v>
      </c>
      <c r="EN344" s="784">
        <f>SUM(EN327:EN343)</f>
        <v>3294011646</v>
      </c>
      <c r="EP344" s="784">
        <f>SUM(EP327:EP343)</f>
        <v>4931270314</v>
      </c>
      <c r="ER344" s="784">
        <f>SUM(ER327:ER343)</f>
        <v>6273455</v>
      </c>
      <c r="ET344" s="784">
        <f>SUM(ET327:ET343)</f>
        <v>4937543769</v>
      </c>
      <c r="EV344" s="784">
        <f>SUM(EV327:EV343)</f>
        <v>5232186679</v>
      </c>
      <c r="EX344" s="784">
        <f>SUM(EX327:EX343)</f>
        <v>0</v>
      </c>
      <c r="EZ344" s="784">
        <f>SUM(EZ327:EZ343)</f>
        <v>5232186679</v>
      </c>
      <c r="FB344" s="784">
        <f>SUM(FB327:FB343)</f>
        <v>0</v>
      </c>
      <c r="FD344" s="784">
        <f>SUM(FD327:FD343)</f>
        <v>0</v>
      </c>
      <c r="FF344" s="784">
        <f>SUM(FF327:FF343)</f>
        <v>4240359255</v>
      </c>
      <c r="FH344" s="784">
        <f>SUM(FH327:FH343)</f>
        <v>0</v>
      </c>
      <c r="FJ344" s="784">
        <f>SUM(FJ327:FJ343)</f>
        <v>4240359255</v>
      </c>
      <c r="FL344" s="784">
        <f>SUM(FL327:FL343)</f>
        <v>483730</v>
      </c>
      <c r="FN344" s="784">
        <f>SUM(FN327:FN343)</f>
        <v>0</v>
      </c>
      <c r="FP344" s="784">
        <f>SUM(FP327:FP343)</f>
        <v>483730</v>
      </c>
      <c r="FR344" s="784">
        <f>SUM(FR327:FR343)</f>
        <v>6797955</v>
      </c>
      <c r="FT344" s="784">
        <f>SUM(FT327:FT343)</f>
        <v>0</v>
      </c>
      <c r="FV344" s="784">
        <f>SUM(FV327:FV343)</f>
        <v>6797955</v>
      </c>
      <c r="FX344" s="984">
        <f>SUM(FX327:FX343)</f>
        <v>0</v>
      </c>
      <c r="FY344" s="968"/>
      <c r="FZ344" s="984">
        <f>SUM(FZ327:FZ343)</f>
        <v>0</v>
      </c>
      <c r="GA344" s="968"/>
      <c r="GB344" s="984">
        <f>SUM(GB327:GB343)</f>
        <v>0</v>
      </c>
      <c r="GC344" s="968"/>
      <c r="GD344" s="984">
        <v>7103997424</v>
      </c>
      <c r="GE344" s="968"/>
      <c r="GF344" s="984">
        <v>0</v>
      </c>
      <c r="GG344" s="968"/>
      <c r="GH344" s="984">
        <v>7103997424</v>
      </c>
      <c r="GM344" s="761">
        <f>O344+U344+AA344+AG344+AO344+AU344+BA344+BG344+BM344+BU344+CH344+CN344+CT344+DF344+DZ344+EH344+EN344+ET344+EZ344+FJ344+FP344+FV344</f>
        <v>18850122662</v>
      </c>
      <c r="GN344" s="1004">
        <f>SUM(GN327:GN343)</f>
        <v>18853698267</v>
      </c>
    </row>
    <row r="345" spans="2:196" ht="12.75" thickTop="1">
      <c r="B345" s="846" t="s">
        <v>1472</v>
      </c>
      <c r="H345" s="765"/>
      <c r="K345" s="828">
        <f>K344-K185-K163</f>
        <v>0</v>
      </c>
      <c r="O345" s="828">
        <f>O344-O185-O163</f>
        <v>0</v>
      </c>
      <c r="Q345" s="828">
        <f>Q344-Q185-Q163</f>
        <v>0</v>
      </c>
      <c r="U345" s="828">
        <f>U344-U185-U163</f>
        <v>0</v>
      </c>
      <c r="W345" s="828">
        <f>W344-W185-W163</f>
        <v>0</v>
      </c>
      <c r="AA345" s="828">
        <f>AA344-AA185-AA163</f>
        <v>0</v>
      </c>
      <c r="AC345" s="828">
        <f>AC344-AC185-AC163</f>
        <v>0</v>
      </c>
      <c r="AG345" s="828">
        <f>AG344-AG185-AG163</f>
        <v>0</v>
      </c>
      <c r="AI345" s="828">
        <f>AI344-AI185-AI163</f>
        <v>0</v>
      </c>
      <c r="AO345" s="828">
        <f>AO344-AO185-AO163</f>
        <v>0</v>
      </c>
      <c r="AQ345" s="828">
        <f>AQ344-AQ185-AQ163</f>
        <v>0</v>
      </c>
      <c r="AU345" s="828">
        <f>AU344-AU185-AU163</f>
        <v>0</v>
      </c>
      <c r="AW345" s="828">
        <f>AW344-AW185-AW163</f>
        <v>0</v>
      </c>
      <c r="BA345" s="828">
        <f>BA344-BA185-BA163</f>
        <v>0</v>
      </c>
      <c r="BC345" s="828">
        <f>BC344-BC185-BC163</f>
        <v>0</v>
      </c>
      <c r="BG345" s="828">
        <f>BG344-BG185-BG163</f>
        <v>0</v>
      </c>
      <c r="BI345" s="828">
        <f>BI344-BI185-BI163</f>
        <v>0</v>
      </c>
      <c r="BM345" s="828">
        <f>BM344-BM185-BM163</f>
        <v>0</v>
      </c>
      <c r="BO345" s="828">
        <f>BO344-BO185-BO163</f>
        <v>0</v>
      </c>
      <c r="BQ345" s="952"/>
      <c r="BU345" s="828">
        <f>BU344-BU185-BU163</f>
        <v>0</v>
      </c>
      <c r="BW345" s="828">
        <f>BW344-BW185-BW163</f>
        <v>0</v>
      </c>
      <c r="BZ345" s="952"/>
      <c r="CB345" s="761"/>
      <c r="CD345" s="952"/>
      <c r="CH345" s="828">
        <f>CH344-CH185-CH163</f>
        <v>0</v>
      </c>
      <c r="CJ345" s="828">
        <f>CJ344-CJ185-CJ163</f>
        <v>0</v>
      </c>
      <c r="CN345" s="828">
        <f>CN344-CN185-CN163</f>
        <v>0</v>
      </c>
      <c r="CP345" s="828">
        <f>CP344-CP185-CP163</f>
        <v>0</v>
      </c>
      <c r="CT345" s="828">
        <f>CT344-CT185-CT163</f>
        <v>0</v>
      </c>
      <c r="CV345" s="828"/>
      <c r="CZ345" s="828"/>
      <c r="DB345" s="828">
        <f>DB344-DB185-DB163</f>
        <v>0</v>
      </c>
      <c r="DF345" s="828">
        <f>DF344-DF185-DF163</f>
        <v>0</v>
      </c>
      <c r="DH345" s="828"/>
      <c r="DL345" s="828"/>
      <c r="DN345" s="828"/>
      <c r="DR345" s="828"/>
      <c r="DT345" s="828">
        <f>DT344-DT185-DT163</f>
        <v>0</v>
      </c>
      <c r="DV345" s="977"/>
      <c r="DZ345" s="828">
        <f>DZ344-DZ185-DZ163</f>
        <v>0</v>
      </c>
      <c r="EB345" s="828">
        <f>EB344-EB185-EB163</f>
        <v>0</v>
      </c>
      <c r="ED345" s="978"/>
      <c r="EH345" s="828">
        <f>EH344-EH185-EH163</f>
        <v>0</v>
      </c>
      <c r="EJ345" s="828">
        <f>EJ344-EJ185-EJ163</f>
        <v>0</v>
      </c>
      <c r="EN345" s="828">
        <f>EN344-EN185-EN163</f>
        <v>0</v>
      </c>
      <c r="EP345" s="828">
        <f>EP344-EP185-EP163</f>
        <v>0</v>
      </c>
      <c r="ET345" s="828">
        <f>ET344-ET185-ET163</f>
        <v>0</v>
      </c>
      <c r="EV345" s="828">
        <f>EV344-EV185-EV163</f>
        <v>0</v>
      </c>
      <c r="EZ345" s="828">
        <f>EZ344-EZ185-EZ163</f>
        <v>0</v>
      </c>
      <c r="FB345" s="761"/>
      <c r="FD345" s="761"/>
      <c r="FF345" s="828">
        <f>FF344-FF185-FF163</f>
        <v>0</v>
      </c>
      <c r="FJ345" s="828">
        <f>FJ344-FJ185-FJ163</f>
        <v>0</v>
      </c>
      <c r="FL345" s="828">
        <f>FL344-FL185-FL163</f>
        <v>0</v>
      </c>
      <c r="FP345" s="828">
        <f>FP344-FP185-FP163</f>
        <v>0</v>
      </c>
      <c r="FR345" s="828">
        <f>FR344-FR185-FR163</f>
        <v>0</v>
      </c>
      <c r="FV345" s="828">
        <f>FV344-FV185-FV163</f>
        <v>0</v>
      </c>
      <c r="FX345" s="828"/>
      <c r="GB345" s="828"/>
      <c r="GD345" s="828"/>
      <c r="GH345" s="828"/>
      <c r="GM345" s="761"/>
      <c r="GN345" s="761"/>
    </row>
    <row r="346" spans="2:196">
      <c r="H346" s="765"/>
      <c r="BQ346" s="952"/>
      <c r="BW346" s="761"/>
      <c r="BZ346" s="952"/>
      <c r="CB346" s="761"/>
      <c r="CD346" s="952"/>
      <c r="CP346" s="761"/>
      <c r="CV346" s="761"/>
      <c r="DB346" s="761"/>
      <c r="DH346" s="761"/>
      <c r="DN346" s="761"/>
      <c r="DT346" s="761"/>
      <c r="DV346" s="977"/>
      <c r="EB346" s="761"/>
      <c r="ED346" s="978"/>
      <c r="EJ346" s="761"/>
      <c r="EP346" s="761"/>
      <c r="EV346" s="761"/>
      <c r="FB346" s="761"/>
      <c r="FD346" s="761"/>
      <c r="GM346" s="761"/>
      <c r="GN346" s="761"/>
    </row>
    <row r="347" spans="2:196" ht="37.5" customHeight="1">
      <c r="C347" s="758" t="s">
        <v>499</v>
      </c>
      <c r="GM347" s="1005" t="s">
        <v>1746</v>
      </c>
      <c r="GN347" s="1007"/>
    </row>
    <row r="348" spans="2:196" ht="18" customHeight="1">
      <c r="E348" s="1088" t="s">
        <v>656</v>
      </c>
      <c r="F348" s="1089"/>
      <c r="G348" s="1089"/>
      <c r="H348" s="1090"/>
      <c r="I348" s="1065" t="s">
        <v>231</v>
      </c>
      <c r="J348" s="1066"/>
      <c r="K348" s="1066"/>
      <c r="L348" s="1066"/>
      <c r="M348" s="1066"/>
      <c r="N348" s="1066"/>
      <c r="O348" s="1066"/>
      <c r="P348" s="1066"/>
      <c r="Q348" s="1067"/>
      <c r="R348" s="781"/>
      <c r="S348" s="781"/>
      <c r="T348" s="781"/>
      <c r="U348" s="781"/>
      <c r="X348" s="781"/>
      <c r="Y348" s="781"/>
      <c r="Z348" s="781"/>
      <c r="AA348" s="781"/>
      <c r="AD348" s="781"/>
      <c r="AE348" s="781"/>
      <c r="AF348" s="781"/>
      <c r="AG348" s="781"/>
      <c r="AL348" s="781"/>
      <c r="AM348" s="781"/>
      <c r="AN348" s="781"/>
      <c r="AO348" s="781"/>
      <c r="AR348" s="781"/>
      <c r="AS348" s="781"/>
      <c r="AT348" s="781"/>
      <c r="AU348" s="781"/>
      <c r="AX348" s="781"/>
      <c r="AY348" s="781"/>
      <c r="AZ348" s="781"/>
      <c r="BA348" s="781"/>
      <c r="BD348" s="781"/>
      <c r="BE348" s="781"/>
      <c r="BF348" s="781"/>
      <c r="BG348" s="781"/>
      <c r="BJ348" s="781"/>
      <c r="BK348" s="781"/>
      <c r="BL348" s="781"/>
      <c r="BM348" s="781"/>
      <c r="BR348" s="781"/>
      <c r="BS348" s="781"/>
      <c r="BT348" s="781"/>
      <c r="BU348" s="781"/>
      <c r="CE348" s="781"/>
      <c r="CF348" s="781"/>
      <c r="CG348" s="781"/>
      <c r="CH348" s="781"/>
      <c r="CJ348" s="758"/>
      <c r="CK348" s="781"/>
      <c r="CL348" s="781"/>
      <c r="CM348" s="781"/>
      <c r="CN348" s="781"/>
      <c r="CQ348" s="781"/>
      <c r="CR348" s="781"/>
      <c r="CS348" s="781"/>
      <c r="CT348" s="781"/>
      <c r="CW348" s="781"/>
      <c r="CX348" s="781"/>
      <c r="CY348" s="781"/>
      <c r="CZ348" s="781"/>
      <c r="DC348" s="781"/>
      <c r="DD348" s="781"/>
      <c r="DE348" s="781"/>
      <c r="DF348" s="781"/>
      <c r="DI348" s="781"/>
      <c r="DJ348" s="781"/>
      <c r="DK348" s="781"/>
      <c r="DL348" s="781"/>
      <c r="DO348" s="781"/>
      <c r="DP348" s="781"/>
      <c r="DQ348" s="781"/>
      <c r="DR348" s="781"/>
      <c r="DW348" s="781"/>
      <c r="DX348" s="781"/>
      <c r="DY348" s="781"/>
      <c r="DZ348" s="781"/>
      <c r="EE348" s="781"/>
      <c r="EF348" s="781"/>
      <c r="EG348" s="781"/>
      <c r="EH348" s="781"/>
      <c r="EK348" s="781"/>
      <c r="EL348" s="781"/>
      <c r="EM348" s="781"/>
      <c r="EN348" s="781"/>
      <c r="EQ348" s="781"/>
      <c r="ER348" s="781"/>
      <c r="ES348" s="781"/>
      <c r="ET348" s="781"/>
      <c r="EW348" s="781"/>
      <c r="EX348" s="781"/>
      <c r="EY348" s="781"/>
      <c r="EZ348" s="781"/>
      <c r="FF348" s="758"/>
      <c r="FG348" s="781"/>
      <c r="FH348" s="781"/>
      <c r="FI348" s="781"/>
      <c r="FJ348" s="781"/>
      <c r="FL348" s="758"/>
      <c r="FM348" s="781"/>
      <c r="FN348" s="781"/>
      <c r="FO348" s="781"/>
      <c r="FP348" s="781"/>
      <c r="FR348" s="758"/>
      <c r="FS348" s="781"/>
      <c r="FT348" s="781"/>
      <c r="FU348" s="781"/>
      <c r="FV348" s="781"/>
      <c r="FX348" s="758"/>
      <c r="FZ348" s="758"/>
      <c r="GB348" s="758"/>
      <c r="GD348" s="758"/>
      <c r="GF348" s="758"/>
      <c r="GH348" s="758"/>
    </row>
    <row r="349" spans="2:196" ht="136.5" customHeight="1">
      <c r="E349" s="1088" t="s">
        <v>278</v>
      </c>
      <c r="F349" s="1089"/>
      <c r="G349" s="1089"/>
      <c r="H349" s="1090"/>
      <c r="I349" s="1065" t="s">
        <v>1747</v>
      </c>
      <c r="J349" s="1066"/>
      <c r="K349" s="1066"/>
      <c r="L349" s="1066"/>
      <c r="M349" s="1066"/>
      <c r="N349" s="1066"/>
      <c r="O349" s="1066"/>
      <c r="P349" s="1066"/>
      <c r="Q349" s="1067"/>
      <c r="R349" s="781"/>
      <c r="S349" s="781"/>
      <c r="T349" s="781"/>
      <c r="U349" s="781"/>
      <c r="X349" s="781"/>
      <c r="Y349" s="781"/>
      <c r="Z349" s="781"/>
      <c r="AA349" s="781"/>
      <c r="AD349" s="781"/>
      <c r="AE349" s="781"/>
      <c r="AF349" s="781"/>
      <c r="AG349" s="781"/>
      <c r="AL349" s="781"/>
      <c r="AM349" s="781"/>
      <c r="AN349" s="781"/>
      <c r="AO349" s="781"/>
      <c r="AR349" s="781"/>
      <c r="AS349" s="781"/>
      <c r="AT349" s="781"/>
      <c r="AU349" s="781"/>
      <c r="AX349" s="781"/>
      <c r="AY349" s="781"/>
      <c r="AZ349" s="781"/>
      <c r="BA349" s="781"/>
      <c r="BD349" s="781"/>
      <c r="BE349" s="781"/>
      <c r="BF349" s="781"/>
      <c r="BG349" s="781"/>
      <c r="BJ349" s="781"/>
      <c r="BK349" s="781"/>
      <c r="BL349" s="781"/>
      <c r="BM349" s="781"/>
      <c r="BR349" s="781"/>
      <c r="BS349" s="781"/>
      <c r="BT349" s="781"/>
      <c r="BU349" s="781"/>
      <c r="CE349" s="781"/>
      <c r="CF349" s="781"/>
      <c r="CG349" s="781"/>
      <c r="CH349" s="781"/>
      <c r="CJ349" s="758"/>
      <c r="CK349" s="781"/>
      <c r="CL349" s="781"/>
      <c r="CM349" s="781"/>
      <c r="CN349" s="781"/>
      <c r="CQ349" s="781"/>
      <c r="CR349" s="781"/>
      <c r="CS349" s="781"/>
      <c r="CT349" s="781"/>
      <c r="CW349" s="781"/>
      <c r="CX349" s="781"/>
      <c r="CY349" s="781"/>
      <c r="CZ349" s="781"/>
      <c r="DC349" s="781"/>
      <c r="DD349" s="781"/>
      <c r="DE349" s="781"/>
      <c r="DF349" s="781"/>
      <c r="DI349" s="781"/>
      <c r="DJ349" s="781"/>
      <c r="DK349" s="781"/>
      <c r="DL349" s="781"/>
      <c r="DO349" s="781"/>
      <c r="DP349" s="781"/>
      <c r="DQ349" s="781"/>
      <c r="DR349" s="781"/>
      <c r="DW349" s="781"/>
      <c r="DX349" s="781"/>
      <c r="DY349" s="781"/>
      <c r="DZ349" s="781"/>
      <c r="EE349" s="781"/>
      <c r="EF349" s="781"/>
      <c r="EG349" s="781"/>
      <c r="EH349" s="781"/>
      <c r="EK349" s="781"/>
      <c r="EL349" s="781"/>
      <c r="EM349" s="781"/>
      <c r="EN349" s="781"/>
      <c r="EQ349" s="781"/>
      <c r="ER349" s="781"/>
      <c r="ES349" s="781"/>
      <c r="ET349" s="781"/>
      <c r="EW349" s="781"/>
      <c r="EX349" s="781"/>
      <c r="EY349" s="781"/>
      <c r="EZ349" s="781"/>
      <c r="FF349" s="758"/>
      <c r="FG349" s="781"/>
      <c r="FH349" s="781"/>
      <c r="FI349" s="781"/>
      <c r="FJ349" s="781"/>
      <c r="FL349" s="758"/>
      <c r="FM349" s="781"/>
      <c r="FN349" s="781"/>
      <c r="FO349" s="781"/>
      <c r="FP349" s="781"/>
      <c r="FR349" s="758"/>
      <c r="FS349" s="781"/>
      <c r="FT349" s="781"/>
      <c r="FU349" s="781"/>
      <c r="FV349" s="781"/>
      <c r="FX349" s="758"/>
      <c r="FZ349" s="758"/>
      <c r="GB349" s="758"/>
      <c r="GD349" s="758"/>
      <c r="GF349" s="758"/>
      <c r="GH349" s="758"/>
    </row>
    <row r="350" spans="2:196" ht="111" customHeight="1">
      <c r="E350" s="1039" t="s">
        <v>616</v>
      </c>
      <c r="F350" s="1087"/>
      <c r="G350" s="1087"/>
      <c r="H350" s="1087"/>
      <c r="I350" s="1064" t="s">
        <v>1748</v>
      </c>
      <c r="J350" s="1084"/>
      <c r="K350" s="1084"/>
      <c r="L350" s="1084"/>
      <c r="M350" s="1084"/>
      <c r="N350" s="1084"/>
      <c r="O350" s="1084"/>
      <c r="P350" s="1084"/>
      <c r="Q350" s="1084"/>
      <c r="R350" s="1013"/>
      <c r="S350" s="1013"/>
      <c r="T350" s="1013"/>
      <c r="U350" s="1013"/>
      <c r="X350" s="1013"/>
      <c r="Y350" s="1013"/>
      <c r="Z350" s="1013"/>
      <c r="AA350" s="1013"/>
      <c r="AD350" s="1013"/>
      <c r="AE350" s="1013"/>
      <c r="AF350" s="1013"/>
      <c r="AG350" s="1013"/>
      <c r="AL350" s="1013"/>
      <c r="AM350" s="1013"/>
      <c r="AN350" s="1013"/>
      <c r="AO350" s="1013"/>
      <c r="AR350" s="1013"/>
      <c r="AS350" s="1013"/>
      <c r="AT350" s="1013"/>
      <c r="AU350" s="1013"/>
      <c r="AX350" s="1013"/>
      <c r="AY350" s="1013"/>
      <c r="AZ350" s="1013"/>
      <c r="BA350" s="1013"/>
      <c r="BD350" s="1013"/>
      <c r="BE350" s="1013"/>
      <c r="BF350" s="1013"/>
      <c r="BG350" s="1013"/>
      <c r="BJ350" s="1013"/>
      <c r="BK350" s="1013"/>
      <c r="BL350" s="1013"/>
      <c r="BM350" s="1013"/>
      <c r="BR350" s="1013"/>
      <c r="BS350" s="1013"/>
      <c r="BT350" s="1013"/>
      <c r="BU350" s="1013"/>
      <c r="CE350" s="1013"/>
      <c r="CF350" s="1013"/>
      <c r="CG350" s="1013"/>
      <c r="CH350" s="1013"/>
      <c r="CJ350" s="758"/>
      <c r="CK350" s="1013"/>
      <c r="CL350" s="1013"/>
      <c r="CM350" s="1013"/>
      <c r="CN350" s="1013"/>
      <c r="CQ350" s="1013"/>
      <c r="CR350" s="1013"/>
      <c r="CS350" s="1013"/>
      <c r="CT350" s="1013"/>
      <c r="CW350" s="1013"/>
      <c r="CX350" s="1013"/>
      <c r="CY350" s="1013"/>
      <c r="CZ350" s="1013"/>
      <c r="DC350" s="1013"/>
      <c r="DD350" s="1013"/>
      <c r="DE350" s="1013"/>
      <c r="DF350" s="1013"/>
      <c r="DI350" s="1013"/>
      <c r="DJ350" s="1013"/>
      <c r="DK350" s="1013"/>
      <c r="DL350" s="1013"/>
      <c r="DO350" s="1013"/>
      <c r="DP350" s="1013"/>
      <c r="DQ350" s="1013"/>
      <c r="DR350" s="1013"/>
      <c r="DW350" s="1013"/>
      <c r="DX350" s="1013"/>
      <c r="DY350" s="1013"/>
      <c r="DZ350" s="1013"/>
      <c r="EE350" s="1013"/>
      <c r="EF350" s="1013"/>
      <c r="EG350" s="1013"/>
      <c r="EH350" s="1013"/>
      <c r="EK350" s="1013"/>
      <c r="EL350" s="1013"/>
      <c r="EM350" s="1013"/>
      <c r="EN350" s="1013"/>
      <c r="EQ350" s="1013"/>
      <c r="ER350" s="1013"/>
      <c r="ES350" s="1013"/>
      <c r="ET350" s="1013"/>
      <c r="EW350" s="1013"/>
      <c r="EX350" s="1013"/>
      <c r="EY350" s="1013"/>
      <c r="EZ350" s="1013"/>
      <c r="FF350" s="758"/>
      <c r="FG350" s="1013"/>
      <c r="FH350" s="1013"/>
      <c r="FI350" s="1013"/>
      <c r="FJ350" s="1013"/>
      <c r="FL350" s="758"/>
      <c r="FM350" s="1013"/>
      <c r="FN350" s="1013"/>
      <c r="FO350" s="1013"/>
      <c r="FP350" s="1013"/>
      <c r="FR350" s="758"/>
      <c r="FS350" s="1013"/>
      <c r="FT350" s="1013"/>
      <c r="FU350" s="1013"/>
      <c r="FV350" s="1013"/>
      <c r="FX350" s="758"/>
      <c r="FZ350" s="758"/>
      <c r="GB350" s="758"/>
      <c r="GD350" s="758"/>
      <c r="GF350" s="758"/>
      <c r="GH350" s="758"/>
    </row>
    <row r="351" spans="2:196" ht="99" customHeight="1">
      <c r="E351" s="1039" t="s">
        <v>487</v>
      </c>
      <c r="F351" s="1087"/>
      <c r="G351" s="1087"/>
      <c r="H351" s="1087"/>
      <c r="I351" s="1064" t="s">
        <v>1749</v>
      </c>
      <c r="J351" s="1064"/>
      <c r="K351" s="1064"/>
      <c r="L351" s="1064"/>
      <c r="M351" s="1064"/>
      <c r="N351" s="1064"/>
      <c r="O351" s="1064"/>
      <c r="P351" s="1064"/>
      <c r="Q351" s="1064"/>
      <c r="R351" s="803"/>
      <c r="S351" s="803"/>
      <c r="T351" s="803"/>
      <c r="U351" s="803"/>
      <c r="X351" s="803"/>
      <c r="Y351" s="803"/>
      <c r="Z351" s="803"/>
      <c r="AA351" s="803"/>
      <c r="AD351" s="803"/>
      <c r="AE351" s="803"/>
      <c r="AF351" s="803"/>
      <c r="AG351" s="803"/>
      <c r="AL351" s="803"/>
      <c r="AM351" s="803"/>
      <c r="AN351" s="803"/>
      <c r="AO351" s="803"/>
      <c r="AR351" s="803"/>
      <c r="AS351" s="803"/>
      <c r="AT351" s="803"/>
      <c r="AU351" s="803"/>
      <c r="AX351" s="803"/>
      <c r="AY351" s="803"/>
      <c r="AZ351" s="803"/>
      <c r="BA351" s="803"/>
      <c r="BD351" s="803"/>
      <c r="BE351" s="803"/>
      <c r="BF351" s="803"/>
      <c r="BG351" s="803"/>
      <c r="BJ351" s="803"/>
      <c r="BK351" s="803"/>
      <c r="BL351" s="803"/>
      <c r="BM351" s="803"/>
      <c r="BR351" s="803"/>
      <c r="BS351" s="803"/>
      <c r="BT351" s="803"/>
      <c r="BU351" s="803"/>
      <c r="CE351" s="803"/>
      <c r="CF351" s="803"/>
      <c r="CG351" s="803"/>
      <c r="CH351" s="803"/>
      <c r="CJ351" s="758"/>
      <c r="CK351" s="803"/>
      <c r="CL351" s="803"/>
      <c r="CM351" s="803"/>
      <c r="CN351" s="803"/>
      <c r="CQ351" s="803"/>
      <c r="CR351" s="803"/>
      <c r="CS351" s="803"/>
      <c r="CT351" s="803"/>
      <c r="CW351" s="803"/>
      <c r="CX351" s="803"/>
      <c r="CY351" s="803"/>
      <c r="CZ351" s="803"/>
      <c r="DC351" s="803"/>
      <c r="DD351" s="803"/>
      <c r="DE351" s="803"/>
      <c r="DF351" s="803"/>
      <c r="DI351" s="803"/>
      <c r="DJ351" s="803"/>
      <c r="DK351" s="803"/>
      <c r="DL351" s="803"/>
      <c r="DO351" s="803"/>
      <c r="DP351" s="803"/>
      <c r="DQ351" s="803"/>
      <c r="DR351" s="803"/>
      <c r="DW351" s="803"/>
      <c r="DX351" s="803"/>
      <c r="DY351" s="803"/>
      <c r="DZ351" s="803"/>
      <c r="EE351" s="803"/>
      <c r="EF351" s="803"/>
      <c r="EG351" s="803"/>
      <c r="EH351" s="803"/>
      <c r="EK351" s="803"/>
      <c r="EL351" s="803"/>
      <c r="EM351" s="803"/>
      <c r="EN351" s="803"/>
      <c r="EQ351" s="803"/>
      <c r="ER351" s="803"/>
      <c r="ES351" s="803"/>
      <c r="ET351" s="803"/>
      <c r="EW351" s="803"/>
      <c r="EX351" s="803"/>
      <c r="EY351" s="803"/>
      <c r="EZ351" s="803"/>
      <c r="FF351" s="758"/>
      <c r="FG351" s="803"/>
      <c r="FH351" s="803"/>
      <c r="FI351" s="803"/>
      <c r="FJ351" s="803"/>
      <c r="FL351" s="758"/>
      <c r="FM351" s="803"/>
      <c r="FN351" s="803"/>
      <c r="FO351" s="803"/>
      <c r="FP351" s="803"/>
      <c r="FR351" s="758"/>
      <c r="FS351" s="803"/>
      <c r="FT351" s="803"/>
      <c r="FU351" s="803"/>
      <c r="FV351" s="803"/>
      <c r="FX351" s="758"/>
      <c r="FZ351" s="758"/>
      <c r="GB351" s="758"/>
      <c r="GD351" s="758"/>
      <c r="GF351" s="758"/>
      <c r="GH351" s="758"/>
    </row>
    <row r="352" spans="2:196" ht="88.5" customHeight="1">
      <c r="E352" s="1088" t="s">
        <v>490</v>
      </c>
      <c r="F352" s="1089"/>
      <c r="G352" s="1089"/>
      <c r="H352" s="1090"/>
      <c r="I352" s="1065" t="s">
        <v>1750</v>
      </c>
      <c r="J352" s="1085"/>
      <c r="K352" s="1085"/>
      <c r="L352" s="1085"/>
      <c r="M352" s="1085"/>
      <c r="N352" s="1085"/>
      <c r="O352" s="1085"/>
      <c r="P352" s="1085"/>
      <c r="Q352" s="1086"/>
      <c r="R352" s="803"/>
      <c r="S352" s="803"/>
      <c r="T352" s="803"/>
      <c r="U352" s="803"/>
      <c r="X352" s="803"/>
      <c r="Y352" s="803"/>
      <c r="Z352" s="803"/>
      <c r="AA352" s="803"/>
      <c r="AD352" s="803"/>
      <c r="AE352" s="803"/>
      <c r="AF352" s="803"/>
      <c r="AG352" s="803"/>
      <c r="AL352" s="803"/>
      <c r="AM352" s="803"/>
      <c r="AN352" s="803"/>
      <c r="AO352" s="803"/>
      <c r="AR352" s="803"/>
      <c r="AS352" s="803"/>
      <c r="AT352" s="803"/>
      <c r="AU352" s="803"/>
      <c r="AX352" s="803"/>
      <c r="AY352" s="803"/>
      <c r="AZ352" s="803"/>
      <c r="BA352" s="803"/>
      <c r="BD352" s="803"/>
      <c r="BE352" s="803"/>
      <c r="BF352" s="803"/>
      <c r="BG352" s="803"/>
      <c r="BJ352" s="803"/>
      <c r="BK352" s="803"/>
      <c r="BL352" s="803"/>
      <c r="BM352" s="803"/>
      <c r="BR352" s="803"/>
      <c r="BS352" s="803"/>
      <c r="BT352" s="803"/>
      <c r="BU352" s="803"/>
      <c r="CE352" s="803"/>
      <c r="CF352" s="803"/>
      <c r="CG352" s="803"/>
      <c r="CH352" s="803"/>
      <c r="CJ352" s="758"/>
      <c r="CK352" s="803"/>
      <c r="CL352" s="803"/>
      <c r="CM352" s="803"/>
      <c r="CN352" s="803"/>
      <c r="CQ352" s="803"/>
      <c r="CR352" s="803"/>
      <c r="CS352" s="803"/>
      <c r="CT352" s="803"/>
      <c r="CW352" s="803"/>
      <c r="CX352" s="803"/>
      <c r="CY352" s="803"/>
      <c r="CZ352" s="803"/>
      <c r="DC352" s="803"/>
      <c r="DD352" s="803"/>
      <c r="DE352" s="803"/>
      <c r="DF352" s="803"/>
      <c r="DI352" s="803"/>
      <c r="DJ352" s="803"/>
      <c r="DK352" s="803"/>
      <c r="DL352" s="803"/>
      <c r="DO352" s="803"/>
      <c r="DP352" s="803"/>
      <c r="DQ352" s="803"/>
      <c r="DR352" s="803"/>
      <c r="DW352" s="803"/>
      <c r="DX352" s="803"/>
      <c r="DY352" s="803"/>
      <c r="DZ352" s="803"/>
      <c r="EE352" s="803"/>
      <c r="EF352" s="803"/>
      <c r="EG352" s="803"/>
      <c r="EH352" s="803"/>
      <c r="EK352" s="803"/>
      <c r="EL352" s="803"/>
      <c r="EM352" s="803"/>
      <c r="EN352" s="803"/>
      <c r="EQ352" s="803"/>
      <c r="ER352" s="803"/>
      <c r="ES352" s="803"/>
      <c r="ET352" s="803"/>
      <c r="EW352" s="803"/>
      <c r="EX352" s="803"/>
      <c r="EY352" s="803"/>
      <c r="EZ352" s="803"/>
      <c r="FF352" s="758"/>
      <c r="FG352" s="803"/>
      <c r="FH352" s="803"/>
      <c r="FI352" s="803"/>
      <c r="FJ352" s="803"/>
      <c r="FL352" s="758"/>
      <c r="FM352" s="803"/>
      <c r="FN352" s="803"/>
      <c r="FO352" s="803"/>
      <c r="FP352" s="803"/>
      <c r="FR352" s="758"/>
      <c r="FS352" s="803"/>
      <c r="FT352" s="803"/>
      <c r="FU352" s="803"/>
      <c r="FV352" s="803"/>
      <c r="FX352" s="758"/>
      <c r="FZ352" s="758"/>
      <c r="GB352" s="758"/>
      <c r="GD352" s="758"/>
      <c r="GF352" s="758"/>
      <c r="GH352" s="758"/>
    </row>
    <row r="353" spans="5:190" ht="9.9499999999999993" customHeight="1">
      <c r="E353" s="1095" t="s">
        <v>1712</v>
      </c>
      <c r="F353" s="1096"/>
      <c r="G353" s="1096"/>
      <c r="H353" s="1097"/>
      <c r="I353" s="1014" t="s">
        <v>231</v>
      </c>
      <c r="J353" s="1015"/>
      <c r="K353" s="1015"/>
      <c r="M353" s="758"/>
      <c r="O353" s="758"/>
      <c r="P353" s="1015"/>
      <c r="Q353" s="1016"/>
      <c r="S353" s="758"/>
      <c r="U353" s="758"/>
      <c r="Y353" s="758"/>
      <c r="AA353" s="758"/>
      <c r="AE353" s="758"/>
      <c r="AG353" s="758"/>
      <c r="AM353" s="758"/>
      <c r="AO353" s="758"/>
      <c r="AS353" s="758"/>
      <c r="AU353" s="758"/>
      <c r="AY353" s="758"/>
      <c r="BA353" s="758"/>
      <c r="BE353" s="758"/>
      <c r="BG353" s="758"/>
      <c r="BK353" s="758"/>
      <c r="BM353" s="758"/>
      <c r="BS353" s="758"/>
      <c r="BU353" s="758"/>
      <c r="CF353" s="758"/>
      <c r="CH353" s="758"/>
      <c r="CJ353" s="758"/>
      <c r="CL353" s="758"/>
      <c r="CN353" s="758"/>
      <c r="CR353" s="758"/>
      <c r="CT353" s="758"/>
      <c r="CX353" s="758"/>
      <c r="CZ353" s="758"/>
      <c r="DD353" s="758"/>
      <c r="DF353" s="758"/>
      <c r="DJ353" s="758"/>
      <c r="DL353" s="758"/>
      <c r="DP353" s="758"/>
      <c r="DR353" s="758"/>
      <c r="DX353" s="758"/>
      <c r="DZ353" s="758"/>
      <c r="EF353" s="758"/>
      <c r="EH353" s="758"/>
      <c r="EL353" s="758"/>
      <c r="EN353" s="758"/>
      <c r="ER353" s="758"/>
      <c r="ET353" s="758"/>
      <c r="EX353" s="758"/>
      <c r="EZ353" s="758"/>
      <c r="FF353" s="758"/>
      <c r="FH353" s="758"/>
      <c r="FJ353" s="758"/>
      <c r="FL353" s="758"/>
      <c r="FN353" s="758"/>
      <c r="FP353" s="758"/>
      <c r="FR353" s="758"/>
      <c r="FT353" s="758"/>
      <c r="FV353" s="758"/>
      <c r="FX353" s="758"/>
      <c r="FZ353" s="758"/>
      <c r="GB353" s="758"/>
      <c r="GD353" s="758"/>
      <c r="GF353" s="758"/>
      <c r="GH353" s="758"/>
    </row>
    <row r="354" spans="5:190">
      <c r="E354" s="1095" t="s">
        <v>488</v>
      </c>
      <c r="F354" s="1096"/>
      <c r="G354" s="1096"/>
      <c r="H354" s="1097"/>
      <c r="I354" s="1014" t="s">
        <v>231</v>
      </c>
      <c r="J354" s="1014"/>
      <c r="K354" s="1014"/>
      <c r="L354" s="1014"/>
      <c r="M354" s="1014"/>
      <c r="N354" s="1014"/>
      <c r="O354" s="1014"/>
      <c r="P354" s="1014"/>
      <c r="Q354" s="1014"/>
      <c r="R354" s="1017"/>
      <c r="S354" s="1017"/>
      <c r="T354" s="1017"/>
      <c r="U354" s="1017"/>
      <c r="X354" s="1017"/>
      <c r="Y354" s="1017"/>
      <c r="Z354" s="1017"/>
      <c r="AA354" s="1017"/>
      <c r="AD354" s="1017"/>
      <c r="AE354" s="1017"/>
      <c r="AF354" s="1017"/>
      <c r="AG354" s="1017"/>
      <c r="AL354" s="1017"/>
      <c r="AM354" s="1017"/>
      <c r="AN354" s="1017"/>
      <c r="AO354" s="1017"/>
      <c r="AR354" s="1017"/>
      <c r="AS354" s="1017"/>
      <c r="AT354" s="1017"/>
      <c r="AU354" s="1017"/>
      <c r="AX354" s="1017"/>
      <c r="AY354" s="1017"/>
      <c r="AZ354" s="1017"/>
      <c r="BA354" s="1017"/>
      <c r="BD354" s="1017"/>
      <c r="BE354" s="1017"/>
      <c r="BF354" s="1017"/>
      <c r="BG354" s="1017"/>
      <c r="BJ354" s="1017"/>
      <c r="BK354" s="1017"/>
      <c r="BL354" s="1017"/>
      <c r="BM354" s="1017"/>
      <c r="BR354" s="1017"/>
      <c r="BS354" s="1017"/>
      <c r="BT354" s="1017"/>
      <c r="BU354" s="1017"/>
      <c r="CE354" s="1017"/>
      <c r="CF354" s="1017"/>
      <c r="CG354" s="1017"/>
      <c r="CH354" s="1017"/>
      <c r="CJ354" s="758"/>
      <c r="CK354" s="1017"/>
      <c r="CL354" s="1017"/>
      <c r="CM354" s="1017"/>
      <c r="CN354" s="1017"/>
      <c r="CQ354" s="1017"/>
      <c r="CR354" s="1017"/>
      <c r="CS354" s="1017"/>
      <c r="CT354" s="1017"/>
      <c r="CW354" s="1017"/>
      <c r="CX354" s="1017"/>
      <c r="CY354" s="1017"/>
      <c r="CZ354" s="1017"/>
      <c r="DC354" s="1017"/>
      <c r="DD354" s="1017"/>
      <c r="DE354" s="1017"/>
      <c r="DF354" s="1017"/>
      <c r="DI354" s="1017"/>
      <c r="DJ354" s="1017"/>
      <c r="DK354" s="1017"/>
      <c r="DL354" s="1017"/>
      <c r="DO354" s="1017"/>
      <c r="DP354" s="1017"/>
      <c r="DQ354" s="1017"/>
      <c r="DR354" s="1017"/>
      <c r="DW354" s="1017"/>
      <c r="DX354" s="1017"/>
      <c r="DY354" s="1017"/>
      <c r="DZ354" s="1017"/>
      <c r="EE354" s="1017"/>
      <c r="EF354" s="1017"/>
      <c r="EG354" s="1017"/>
      <c r="EH354" s="1017"/>
      <c r="EK354" s="1017"/>
      <c r="EL354" s="1017"/>
      <c r="EM354" s="1017"/>
      <c r="EN354" s="1017"/>
      <c r="EQ354" s="1017"/>
      <c r="ER354" s="1017"/>
      <c r="ES354" s="1017"/>
      <c r="ET354" s="1017"/>
      <c r="EW354" s="1017"/>
      <c r="EX354" s="1017"/>
      <c r="EY354" s="1017"/>
      <c r="EZ354" s="1017"/>
      <c r="FF354" s="758"/>
      <c r="FG354" s="1017"/>
      <c r="FH354" s="1017"/>
      <c r="FI354" s="1017"/>
      <c r="FJ354" s="1017"/>
      <c r="FL354" s="758"/>
      <c r="FM354" s="1017"/>
      <c r="FN354" s="1017"/>
      <c r="FO354" s="1017"/>
      <c r="FP354" s="1017"/>
      <c r="FR354" s="758"/>
      <c r="FS354" s="1017"/>
      <c r="FT354" s="1017"/>
      <c r="FU354" s="1017"/>
      <c r="FV354" s="1017"/>
      <c r="FX354" s="758"/>
      <c r="FZ354" s="758"/>
      <c r="GB354" s="758"/>
      <c r="GD354" s="758"/>
      <c r="GF354" s="758"/>
      <c r="GH354" s="758"/>
    </row>
    <row r="355" spans="5:190" ht="94.5" customHeight="1">
      <c r="E355" s="1098" t="s">
        <v>35</v>
      </c>
      <c r="F355" s="1099"/>
      <c r="G355" s="1099"/>
      <c r="H355" s="1100"/>
      <c r="I355" s="1065" t="s">
        <v>1751</v>
      </c>
      <c r="J355" s="1085"/>
      <c r="K355" s="1085"/>
      <c r="L355" s="1085"/>
      <c r="M355" s="1085"/>
      <c r="N355" s="1085"/>
      <c r="O355" s="1085"/>
      <c r="P355" s="1085"/>
      <c r="Q355" s="1086"/>
      <c r="R355" s="1018"/>
      <c r="S355" s="1018"/>
      <c r="T355" s="1018"/>
      <c r="U355" s="1018"/>
      <c r="X355" s="1018"/>
      <c r="Y355" s="1018"/>
      <c r="Z355" s="1018"/>
      <c r="AA355" s="1018"/>
      <c r="AD355" s="1018"/>
      <c r="AE355" s="1018"/>
      <c r="AF355" s="1018"/>
      <c r="AG355" s="1018"/>
      <c r="AL355" s="1018"/>
      <c r="AM355" s="1018"/>
      <c r="AN355" s="1018"/>
      <c r="AO355" s="1018"/>
      <c r="AR355" s="1018"/>
      <c r="AS355" s="1018"/>
      <c r="AT355" s="1018"/>
      <c r="AU355" s="1018"/>
      <c r="AX355" s="1018"/>
      <c r="AY355" s="1018"/>
      <c r="AZ355" s="1018"/>
      <c r="BA355" s="1018"/>
      <c r="BD355" s="1018"/>
      <c r="BE355" s="1018"/>
      <c r="BF355" s="1018"/>
      <c r="BG355" s="1018"/>
      <c r="BJ355" s="1018"/>
      <c r="BK355" s="1018"/>
      <c r="BL355" s="1018"/>
      <c r="BM355" s="1018"/>
      <c r="BR355" s="1018"/>
      <c r="BS355" s="1018"/>
      <c r="BT355" s="1018"/>
      <c r="BU355" s="1018"/>
      <c r="CE355" s="1018"/>
      <c r="CF355" s="1018"/>
      <c r="CG355" s="1018"/>
      <c r="CH355" s="1018"/>
      <c r="CJ355" s="758"/>
      <c r="CK355" s="1018"/>
      <c r="CL355" s="1018"/>
      <c r="CM355" s="1018"/>
      <c r="CN355" s="1018"/>
      <c r="CQ355" s="1018"/>
      <c r="CR355" s="1018"/>
      <c r="CS355" s="1018"/>
      <c r="CT355" s="1018"/>
      <c r="CW355" s="1018"/>
      <c r="CX355" s="1018"/>
      <c r="CY355" s="1018"/>
      <c r="CZ355" s="1018"/>
      <c r="DC355" s="1018"/>
      <c r="DD355" s="1018"/>
      <c r="DE355" s="1018"/>
      <c r="DF355" s="1018"/>
      <c r="DI355" s="1018"/>
      <c r="DJ355" s="1018"/>
      <c r="DK355" s="1018"/>
      <c r="DL355" s="1018"/>
      <c r="DO355" s="1018"/>
      <c r="DP355" s="1018"/>
      <c r="DQ355" s="1018"/>
      <c r="DR355" s="1018"/>
      <c r="DW355" s="1018"/>
      <c r="DX355" s="1018"/>
      <c r="DY355" s="1018"/>
      <c r="DZ355" s="1018"/>
      <c r="EE355" s="1018"/>
      <c r="EF355" s="1018"/>
      <c r="EG355" s="1018"/>
      <c r="EH355" s="1018"/>
      <c r="EK355" s="1018"/>
      <c r="EL355" s="1018"/>
      <c r="EM355" s="1018"/>
      <c r="EN355" s="1018"/>
      <c r="EQ355" s="1018"/>
      <c r="ER355" s="1018"/>
      <c r="ES355" s="1018"/>
      <c r="ET355" s="1018"/>
      <c r="EW355" s="1018"/>
      <c r="EX355" s="1018"/>
      <c r="EY355" s="1018"/>
      <c r="EZ355" s="1018"/>
      <c r="FF355" s="758"/>
      <c r="FG355" s="1018"/>
      <c r="FH355" s="1018"/>
      <c r="FI355" s="1018"/>
      <c r="FJ355" s="1018"/>
      <c r="FL355" s="758"/>
      <c r="FM355" s="1018"/>
      <c r="FN355" s="1018"/>
      <c r="FO355" s="1018"/>
      <c r="FP355" s="1018"/>
      <c r="FR355" s="758"/>
      <c r="FS355" s="1018"/>
      <c r="FT355" s="1018"/>
      <c r="FU355" s="1018"/>
      <c r="FV355" s="1018"/>
      <c r="FX355" s="758"/>
      <c r="FZ355" s="758"/>
      <c r="GB355" s="758"/>
      <c r="GD355" s="758"/>
      <c r="GF355" s="758"/>
      <c r="GH355" s="758"/>
    </row>
    <row r="356" spans="5:190">
      <c r="E356" s="1092" t="s">
        <v>491</v>
      </c>
      <c r="F356" s="1093"/>
      <c r="G356" s="1093"/>
      <c r="H356" s="1094"/>
      <c r="I356" s="1012" t="s">
        <v>231</v>
      </c>
      <c r="J356" s="945"/>
      <c r="K356" s="945"/>
      <c r="L356" s="945"/>
      <c r="M356" s="945"/>
      <c r="N356" s="945"/>
      <c r="O356" s="945"/>
      <c r="P356" s="945"/>
      <c r="Q356" s="946"/>
      <c r="R356" s="804"/>
      <c r="S356" s="804"/>
      <c r="T356" s="804"/>
      <c r="U356" s="804"/>
      <c r="X356" s="804"/>
      <c r="Y356" s="804"/>
      <c r="Z356" s="804"/>
      <c r="AA356" s="804"/>
      <c r="AD356" s="804"/>
      <c r="AE356" s="804"/>
      <c r="AF356" s="804"/>
      <c r="AG356" s="804"/>
      <c r="AL356" s="804"/>
      <c r="AM356" s="804"/>
      <c r="AN356" s="804"/>
      <c r="AO356" s="804"/>
      <c r="AR356" s="804"/>
      <c r="AS356" s="804"/>
      <c r="AT356" s="804"/>
      <c r="AU356" s="804"/>
      <c r="AX356" s="804"/>
      <c r="AY356" s="804"/>
      <c r="AZ356" s="804"/>
      <c r="BA356" s="804"/>
      <c r="BD356" s="804"/>
      <c r="BE356" s="804"/>
      <c r="BF356" s="804"/>
      <c r="BG356" s="804"/>
      <c r="BJ356" s="804"/>
      <c r="BK356" s="804"/>
      <c r="BL356" s="804"/>
      <c r="BM356" s="804"/>
      <c r="BR356" s="804"/>
      <c r="BS356" s="804"/>
      <c r="BT356" s="804"/>
      <c r="BU356" s="804"/>
      <c r="CE356" s="804"/>
      <c r="CF356" s="804"/>
      <c r="CG356" s="804"/>
      <c r="CH356" s="804"/>
      <c r="CJ356" s="758"/>
      <c r="CK356" s="804"/>
      <c r="CL356" s="804"/>
      <c r="CM356" s="804"/>
      <c r="CN356" s="804"/>
      <c r="CQ356" s="804"/>
      <c r="CR356" s="804"/>
      <c r="CS356" s="804"/>
      <c r="CT356" s="804"/>
      <c r="CW356" s="804"/>
      <c r="CX356" s="804"/>
      <c r="CY356" s="804"/>
      <c r="CZ356" s="804"/>
      <c r="DC356" s="804"/>
      <c r="DD356" s="804"/>
      <c r="DE356" s="804"/>
      <c r="DF356" s="804"/>
      <c r="DI356" s="804"/>
      <c r="DJ356" s="804"/>
      <c r="DK356" s="804"/>
      <c r="DL356" s="804"/>
      <c r="DO356" s="804"/>
      <c r="DP356" s="804"/>
      <c r="DQ356" s="804"/>
      <c r="DR356" s="804"/>
      <c r="DW356" s="804"/>
      <c r="DX356" s="804"/>
      <c r="DY356" s="804"/>
      <c r="DZ356" s="804"/>
      <c r="EE356" s="804"/>
      <c r="EF356" s="804"/>
      <c r="EG356" s="804"/>
      <c r="EH356" s="804"/>
      <c r="EK356" s="804"/>
      <c r="EL356" s="804"/>
      <c r="EM356" s="804"/>
      <c r="EN356" s="804"/>
      <c r="EQ356" s="804"/>
      <c r="ER356" s="804"/>
      <c r="ES356" s="804"/>
      <c r="ET356" s="804"/>
      <c r="EW356" s="804"/>
      <c r="EX356" s="804"/>
      <c r="EY356" s="804"/>
      <c r="EZ356" s="804"/>
      <c r="FF356" s="758"/>
      <c r="FG356" s="804"/>
      <c r="FH356" s="804"/>
      <c r="FI356" s="804"/>
      <c r="FJ356" s="804"/>
      <c r="FL356" s="758"/>
      <c r="FM356" s="804"/>
      <c r="FN356" s="804"/>
      <c r="FO356" s="804"/>
      <c r="FP356" s="804"/>
      <c r="FR356" s="758"/>
      <c r="FS356" s="804"/>
      <c r="FT356" s="804"/>
      <c r="FU356" s="804"/>
      <c r="FV356" s="804"/>
      <c r="FX356" s="758"/>
      <c r="FZ356" s="758"/>
      <c r="GB356" s="758"/>
      <c r="GD356" s="758"/>
      <c r="GF356" s="758"/>
      <c r="GH356" s="758"/>
    </row>
    <row r="357" spans="5:190" ht="118.5" customHeight="1">
      <c r="E357" s="1092" t="s">
        <v>1092</v>
      </c>
      <c r="F357" s="1093"/>
      <c r="G357" s="1093"/>
      <c r="H357" s="1094"/>
      <c r="I357" s="1065" t="s">
        <v>1752</v>
      </c>
      <c r="J357" s="1085"/>
      <c r="K357" s="1085"/>
      <c r="L357" s="1085"/>
      <c r="M357" s="1085"/>
      <c r="N357" s="1085"/>
      <c r="O357" s="1085"/>
      <c r="P357" s="1085"/>
      <c r="Q357" s="1086"/>
      <c r="R357" s="803"/>
      <c r="S357" s="803"/>
      <c r="T357" s="803"/>
      <c r="U357" s="803"/>
      <c r="X357" s="803"/>
      <c r="Y357" s="803"/>
      <c r="Z357" s="803"/>
      <c r="AA357" s="803"/>
      <c r="AD357" s="803"/>
      <c r="AE357" s="803"/>
      <c r="AF357" s="803"/>
      <c r="AG357" s="803"/>
      <c r="AL357" s="803"/>
      <c r="AM357" s="803"/>
      <c r="AN357" s="803"/>
      <c r="AO357" s="803"/>
      <c r="AR357" s="803"/>
      <c r="AS357" s="803"/>
      <c r="AT357" s="803"/>
      <c r="AU357" s="803"/>
      <c r="AX357" s="803"/>
      <c r="AY357" s="803"/>
      <c r="AZ357" s="803"/>
      <c r="BA357" s="803"/>
      <c r="BD357" s="803"/>
      <c r="BE357" s="803"/>
      <c r="BF357" s="803"/>
      <c r="BG357" s="803"/>
      <c r="BJ357" s="803"/>
      <c r="BK357" s="803"/>
      <c r="BL357" s="803"/>
      <c r="BM357" s="803"/>
      <c r="BR357" s="803"/>
      <c r="BS357" s="803"/>
      <c r="BT357" s="803"/>
      <c r="BU357" s="803"/>
      <c r="CE357" s="803"/>
      <c r="CF357" s="803"/>
      <c r="CG357" s="803"/>
      <c r="CH357" s="803"/>
      <c r="CJ357" s="758"/>
      <c r="CK357" s="803"/>
      <c r="CL357" s="803"/>
      <c r="CM357" s="803"/>
      <c r="CN357" s="803"/>
      <c r="CQ357" s="803"/>
      <c r="CR357" s="803"/>
      <c r="CS357" s="803"/>
      <c r="CT357" s="803"/>
      <c r="CW357" s="803"/>
      <c r="CX357" s="803"/>
      <c r="CY357" s="803"/>
      <c r="CZ357" s="803"/>
      <c r="DC357" s="803"/>
      <c r="DD357" s="803"/>
      <c r="DE357" s="803"/>
      <c r="DF357" s="803"/>
      <c r="DI357" s="803"/>
      <c r="DJ357" s="803"/>
      <c r="DK357" s="803"/>
      <c r="DL357" s="803"/>
      <c r="DO357" s="803"/>
      <c r="DP357" s="803"/>
      <c r="DQ357" s="803"/>
      <c r="DR357" s="803"/>
      <c r="DW357" s="803"/>
      <c r="DX357" s="803"/>
      <c r="DY357" s="803"/>
      <c r="DZ357" s="803"/>
      <c r="EE357" s="803"/>
      <c r="EF357" s="803"/>
      <c r="EG357" s="803"/>
      <c r="EH357" s="803"/>
      <c r="EK357" s="803"/>
      <c r="EL357" s="803"/>
      <c r="EM357" s="803"/>
      <c r="EN357" s="803"/>
      <c r="EQ357" s="803"/>
      <c r="ER357" s="803"/>
      <c r="ES357" s="803"/>
      <c r="ET357" s="803"/>
      <c r="EW357" s="803"/>
      <c r="EX357" s="803"/>
      <c r="EY357" s="803"/>
      <c r="EZ357" s="803"/>
      <c r="FF357" s="758"/>
      <c r="FG357" s="803"/>
      <c r="FH357" s="803"/>
      <c r="FI357" s="803"/>
      <c r="FJ357" s="803"/>
      <c r="FL357" s="758"/>
      <c r="FM357" s="803"/>
      <c r="FN357" s="803"/>
      <c r="FO357" s="803"/>
      <c r="FP357" s="803"/>
      <c r="FR357" s="758"/>
      <c r="FS357" s="803"/>
      <c r="FT357" s="803"/>
      <c r="FU357" s="803"/>
      <c r="FV357" s="803"/>
      <c r="FX357" s="758"/>
      <c r="FZ357" s="758"/>
      <c r="GB357" s="758"/>
      <c r="GD357" s="758"/>
      <c r="GF357" s="758"/>
      <c r="GH357" s="758"/>
    </row>
    <row r="358" spans="5:190" ht="24" customHeight="1">
      <c r="E358" s="1092" t="s">
        <v>489</v>
      </c>
      <c r="F358" s="1093"/>
      <c r="G358" s="1093"/>
      <c r="H358" s="1094"/>
      <c r="I358" s="1065" t="s">
        <v>231</v>
      </c>
      <c r="J358" s="1085"/>
      <c r="K358" s="1085"/>
      <c r="L358" s="1085"/>
      <c r="M358" s="1085"/>
      <c r="N358" s="1085"/>
      <c r="O358" s="1085"/>
      <c r="P358" s="1085"/>
      <c r="Q358" s="1086"/>
      <c r="R358" s="803"/>
      <c r="S358" s="803"/>
      <c r="T358" s="803"/>
      <c r="U358" s="803"/>
      <c r="X358" s="803"/>
      <c r="Y358" s="803"/>
      <c r="Z358" s="803"/>
      <c r="AA358" s="803"/>
      <c r="AD358" s="803"/>
      <c r="AE358" s="803"/>
      <c r="AF358" s="803"/>
      <c r="AG358" s="803"/>
      <c r="AL358" s="803"/>
      <c r="AM358" s="803"/>
      <c r="AN358" s="803"/>
      <c r="AO358" s="803"/>
      <c r="AR358" s="803"/>
      <c r="AS358" s="803"/>
      <c r="AT358" s="803"/>
      <c r="AU358" s="803"/>
      <c r="AX358" s="803"/>
      <c r="AY358" s="803"/>
      <c r="AZ358" s="803"/>
      <c r="BA358" s="803"/>
      <c r="BD358" s="803"/>
      <c r="BE358" s="803"/>
      <c r="BF358" s="803"/>
      <c r="BG358" s="803"/>
      <c r="BJ358" s="803"/>
      <c r="BK358" s="803"/>
      <c r="BL358" s="803"/>
      <c r="BM358" s="803"/>
      <c r="BR358" s="803"/>
      <c r="BS358" s="803"/>
      <c r="BT358" s="803"/>
      <c r="BU358" s="803"/>
      <c r="CE358" s="803"/>
      <c r="CF358" s="803"/>
      <c r="CG358" s="803"/>
      <c r="CH358" s="803"/>
      <c r="CJ358" s="758"/>
      <c r="CK358" s="803"/>
      <c r="CL358" s="803"/>
      <c r="CM358" s="803"/>
      <c r="CN358" s="803"/>
      <c r="CQ358" s="803"/>
      <c r="CR358" s="803"/>
      <c r="CS358" s="803"/>
      <c r="CT358" s="803"/>
      <c r="CW358" s="803"/>
      <c r="CX358" s="803"/>
      <c r="CY358" s="803"/>
      <c r="CZ358" s="803"/>
      <c r="DC358" s="803"/>
      <c r="DD358" s="803"/>
      <c r="DE358" s="803"/>
      <c r="DF358" s="803"/>
      <c r="DI358" s="803"/>
      <c r="DJ358" s="803"/>
      <c r="DK358" s="803"/>
      <c r="DL358" s="803"/>
      <c r="DO358" s="803"/>
      <c r="DP358" s="803"/>
      <c r="DQ358" s="803"/>
      <c r="DR358" s="803"/>
      <c r="DW358" s="803"/>
      <c r="DX358" s="803"/>
      <c r="DY358" s="803"/>
      <c r="DZ358" s="803"/>
      <c r="EE358" s="803"/>
      <c r="EF358" s="803"/>
      <c r="EG358" s="803"/>
      <c r="EH358" s="803"/>
      <c r="EK358" s="803"/>
      <c r="EL358" s="803"/>
      <c r="EM358" s="803"/>
      <c r="EN358" s="803"/>
      <c r="EQ358" s="803"/>
      <c r="ER358" s="803"/>
      <c r="ES358" s="803"/>
      <c r="ET358" s="803"/>
      <c r="EW358" s="803"/>
      <c r="EX358" s="803"/>
      <c r="EY358" s="803"/>
      <c r="EZ358" s="803"/>
      <c r="FF358" s="758"/>
      <c r="FG358" s="803"/>
      <c r="FH358" s="803"/>
      <c r="FI358" s="803"/>
      <c r="FJ358" s="803"/>
      <c r="FL358" s="758"/>
      <c r="FM358" s="803"/>
      <c r="FN358" s="803"/>
      <c r="FO358" s="803"/>
      <c r="FP358" s="803"/>
      <c r="FR358" s="758"/>
      <c r="FS358" s="803"/>
      <c r="FT358" s="803"/>
      <c r="FU358" s="803"/>
      <c r="FV358" s="803"/>
      <c r="FX358" s="758"/>
      <c r="FZ358" s="758"/>
      <c r="GB358" s="758"/>
      <c r="GD358" s="758"/>
      <c r="GF358" s="758"/>
      <c r="GH358" s="758"/>
    </row>
    <row r="359" spans="5:190">
      <c r="E359" s="1101" t="s">
        <v>1713</v>
      </c>
      <c r="F359" s="1102"/>
      <c r="G359" s="1102"/>
      <c r="H359" s="1102"/>
      <c r="I359" s="1054" t="s">
        <v>231</v>
      </c>
      <c r="J359" s="1055"/>
      <c r="K359" s="1055"/>
      <c r="L359" s="1055"/>
      <c r="M359" s="1055"/>
      <c r="N359" s="1055"/>
      <c r="O359" s="1055"/>
      <c r="P359" s="1055"/>
      <c r="Q359" s="1056"/>
      <c r="R359" s="1019"/>
      <c r="S359" s="1019"/>
      <c r="T359" s="1019"/>
      <c r="U359" s="1019"/>
      <c r="X359" s="1019"/>
      <c r="Y359" s="1019"/>
      <c r="Z359" s="1019"/>
      <c r="AA359" s="1019"/>
      <c r="AD359" s="1019"/>
      <c r="AE359" s="1019"/>
      <c r="AF359" s="1019"/>
      <c r="AG359" s="1019"/>
      <c r="AL359" s="1019"/>
      <c r="AM359" s="1019"/>
      <c r="AN359" s="1019"/>
      <c r="AO359" s="1019"/>
      <c r="AR359" s="1019"/>
      <c r="AS359" s="1019"/>
      <c r="AT359" s="1019"/>
      <c r="AU359" s="1019"/>
      <c r="AX359" s="1019"/>
      <c r="AY359" s="1019"/>
      <c r="AZ359" s="1019"/>
      <c r="BA359" s="1019"/>
      <c r="BD359" s="1019"/>
      <c r="BE359" s="1019"/>
      <c r="BF359" s="1019"/>
      <c r="BG359" s="1019"/>
      <c r="BJ359" s="1019"/>
      <c r="BK359" s="1019"/>
      <c r="BL359" s="1019"/>
      <c r="BM359" s="1019"/>
      <c r="BR359" s="1019"/>
      <c r="BS359" s="1019"/>
      <c r="BT359" s="1019"/>
      <c r="BU359" s="1019"/>
      <c r="CE359" s="1019"/>
      <c r="CF359" s="1019"/>
      <c r="CG359" s="1019"/>
      <c r="CH359" s="1019"/>
      <c r="CJ359" s="758"/>
      <c r="CK359" s="1019"/>
      <c r="CL359" s="1019"/>
      <c r="CM359" s="1019"/>
      <c r="CN359" s="1019"/>
      <c r="CQ359" s="1019"/>
      <c r="CR359" s="1019"/>
      <c r="CS359" s="1019"/>
      <c r="CT359" s="1019"/>
      <c r="CW359" s="1019"/>
      <c r="CX359" s="1019"/>
      <c r="CY359" s="1019"/>
      <c r="CZ359" s="1019"/>
      <c r="DC359" s="1019"/>
      <c r="DD359" s="1019"/>
      <c r="DE359" s="1019"/>
      <c r="DF359" s="1019"/>
      <c r="DI359" s="1019"/>
      <c r="DJ359" s="1019"/>
      <c r="DK359" s="1019"/>
      <c r="DL359" s="1019"/>
      <c r="DO359" s="1019"/>
      <c r="DP359" s="1019"/>
      <c r="DQ359" s="1019"/>
      <c r="DR359" s="1019"/>
      <c r="DW359" s="1019"/>
      <c r="DX359" s="1019"/>
      <c r="DY359" s="1019"/>
      <c r="DZ359" s="1019"/>
      <c r="EE359" s="1019"/>
      <c r="EF359" s="1019"/>
      <c r="EG359" s="1019"/>
      <c r="EH359" s="1019"/>
      <c r="EK359" s="1019"/>
      <c r="EL359" s="1019"/>
      <c r="EM359" s="1019"/>
      <c r="EN359" s="1019"/>
      <c r="EQ359" s="1019"/>
      <c r="ER359" s="1019"/>
      <c r="ES359" s="1019"/>
      <c r="ET359" s="1019"/>
      <c r="EW359" s="1019"/>
      <c r="EX359" s="1019"/>
      <c r="EY359" s="1019"/>
      <c r="EZ359" s="1019"/>
      <c r="FF359" s="758"/>
      <c r="FG359" s="1019"/>
      <c r="FH359" s="1019"/>
      <c r="FI359" s="1019"/>
      <c r="FJ359" s="1019"/>
      <c r="FL359" s="758"/>
      <c r="FM359" s="1019"/>
      <c r="FN359" s="1019"/>
      <c r="FO359" s="1019"/>
      <c r="FP359" s="1019"/>
      <c r="FR359" s="758"/>
      <c r="FS359" s="1019"/>
      <c r="FT359" s="1019"/>
      <c r="FU359" s="1019"/>
      <c r="FV359" s="1019"/>
      <c r="FX359" s="758"/>
      <c r="FZ359" s="758"/>
      <c r="GB359" s="758"/>
      <c r="GD359" s="758"/>
      <c r="GF359" s="758"/>
      <c r="GH359" s="758"/>
    </row>
    <row r="360" spans="5:190" ht="151.5" customHeight="1">
      <c r="E360" s="1126" t="s">
        <v>53</v>
      </c>
      <c r="F360" s="1127"/>
      <c r="G360" s="1127"/>
      <c r="H360" s="1127"/>
      <c r="I360" s="1068" t="s">
        <v>1753</v>
      </c>
      <c r="J360" s="1068"/>
      <c r="K360" s="1068"/>
      <c r="L360" s="1068"/>
      <c r="M360" s="1068"/>
      <c r="N360" s="1068"/>
      <c r="O360" s="1068"/>
      <c r="P360" s="1068"/>
      <c r="Q360" s="1068"/>
      <c r="R360" s="804"/>
      <c r="S360" s="804"/>
      <c r="T360" s="804"/>
      <c r="U360" s="804"/>
      <c r="X360" s="804"/>
      <c r="Y360" s="804"/>
      <c r="Z360" s="804"/>
      <c r="AA360" s="804"/>
      <c r="AD360" s="804"/>
      <c r="AE360" s="804"/>
      <c r="AF360" s="804"/>
      <c r="AG360" s="804"/>
      <c r="AL360" s="804"/>
      <c r="AM360" s="804"/>
      <c r="AN360" s="804"/>
      <c r="AO360" s="804"/>
      <c r="AR360" s="804"/>
      <c r="AS360" s="804"/>
      <c r="AT360" s="804"/>
      <c r="AU360" s="804"/>
      <c r="AX360" s="804"/>
      <c r="AY360" s="804"/>
      <c r="AZ360" s="804"/>
      <c r="BA360" s="804"/>
      <c r="BD360" s="804"/>
      <c r="BE360" s="804"/>
      <c r="BF360" s="804"/>
      <c r="BG360" s="804"/>
      <c r="BJ360" s="804"/>
      <c r="BK360" s="804"/>
      <c r="BL360" s="804"/>
      <c r="BM360" s="804"/>
      <c r="BR360" s="804"/>
      <c r="BS360" s="804"/>
      <c r="BT360" s="804"/>
      <c r="BU360" s="804"/>
      <c r="CE360" s="804"/>
      <c r="CF360" s="804"/>
      <c r="CG360" s="804"/>
      <c r="CH360" s="804"/>
      <c r="CJ360" s="758"/>
      <c r="CK360" s="804"/>
      <c r="CL360" s="804"/>
      <c r="CM360" s="804"/>
      <c r="CN360" s="804"/>
      <c r="CQ360" s="804"/>
      <c r="CR360" s="804"/>
      <c r="CS360" s="804"/>
      <c r="CT360" s="804"/>
      <c r="CW360" s="804"/>
      <c r="CX360" s="804"/>
      <c r="CY360" s="804"/>
      <c r="CZ360" s="804"/>
      <c r="DC360" s="804"/>
      <c r="DD360" s="804"/>
      <c r="DE360" s="804"/>
      <c r="DF360" s="804"/>
      <c r="DI360" s="804"/>
      <c r="DJ360" s="804"/>
      <c r="DK360" s="804"/>
      <c r="DL360" s="804"/>
      <c r="DO360" s="804"/>
      <c r="DP360" s="804"/>
      <c r="DQ360" s="804"/>
      <c r="DR360" s="804"/>
      <c r="DW360" s="804"/>
      <c r="DX360" s="804"/>
      <c r="DY360" s="804"/>
      <c r="DZ360" s="804"/>
      <c r="EE360" s="804"/>
      <c r="EF360" s="804"/>
      <c r="EG360" s="804"/>
      <c r="EH360" s="804"/>
      <c r="EK360" s="804"/>
      <c r="EL360" s="804"/>
      <c r="EM360" s="804"/>
      <c r="EN360" s="804"/>
      <c r="EQ360" s="804"/>
      <c r="ER360" s="804"/>
      <c r="ES360" s="804"/>
      <c r="ET360" s="804"/>
      <c r="EW360" s="804"/>
      <c r="EX360" s="804"/>
      <c r="EY360" s="804"/>
      <c r="EZ360" s="804"/>
      <c r="FF360" s="758"/>
      <c r="FG360" s="804"/>
      <c r="FH360" s="804"/>
      <c r="FI360" s="804"/>
      <c r="FJ360" s="804"/>
      <c r="FL360" s="758"/>
      <c r="FM360" s="804"/>
      <c r="FN360" s="804"/>
      <c r="FO360" s="804"/>
      <c r="FP360" s="804"/>
      <c r="FR360" s="758"/>
      <c r="FS360" s="804"/>
      <c r="FT360" s="804"/>
      <c r="FU360" s="804"/>
      <c r="FV360" s="804"/>
      <c r="FX360" s="758"/>
      <c r="FZ360" s="758"/>
      <c r="GB360" s="758"/>
      <c r="GD360" s="758"/>
      <c r="GF360" s="758"/>
      <c r="GH360" s="758"/>
    </row>
    <row r="361" spans="5:190">
      <c r="E361" s="1131" t="s">
        <v>1714</v>
      </c>
      <c r="F361" s="1132"/>
      <c r="G361" s="1132"/>
      <c r="H361" s="1132"/>
      <c r="I361" s="1128" t="s">
        <v>231</v>
      </c>
      <c r="J361" s="1129"/>
      <c r="K361" s="1129"/>
      <c r="L361" s="1129"/>
      <c r="M361" s="1129"/>
      <c r="N361" s="1129"/>
      <c r="O361" s="1129"/>
      <c r="P361" s="1129"/>
      <c r="Q361" s="1130"/>
      <c r="R361" s="1020"/>
      <c r="S361" s="1020"/>
      <c r="T361" s="1020"/>
      <c r="U361" s="1020"/>
      <c r="X361" s="1020"/>
      <c r="Y361" s="1020"/>
      <c r="Z361" s="1020"/>
      <c r="AA361" s="1020"/>
      <c r="AD361" s="1020"/>
      <c r="AE361" s="1020"/>
      <c r="AF361" s="1020"/>
      <c r="AG361" s="1020"/>
      <c r="AL361" s="1020"/>
      <c r="AM361" s="1020"/>
      <c r="AN361" s="1020"/>
      <c r="AO361" s="1020"/>
      <c r="AR361" s="1020"/>
      <c r="AS361" s="1020"/>
      <c r="AT361" s="1020"/>
      <c r="AU361" s="1020"/>
      <c r="AX361" s="1020"/>
      <c r="AY361" s="1020"/>
      <c r="AZ361" s="1020"/>
      <c r="BA361" s="1020"/>
      <c r="BD361" s="1020"/>
      <c r="BE361" s="1020"/>
      <c r="BF361" s="1020"/>
      <c r="BG361" s="1020"/>
      <c r="BJ361" s="1020"/>
      <c r="BK361" s="1020"/>
      <c r="BL361" s="1020"/>
      <c r="BM361" s="1020"/>
      <c r="BR361" s="1020"/>
      <c r="BS361" s="1020"/>
      <c r="BT361" s="1020"/>
      <c r="BU361" s="1020"/>
      <c r="CE361" s="1020"/>
      <c r="CF361" s="1020"/>
      <c r="CG361" s="1020"/>
      <c r="CH361" s="1020"/>
      <c r="CJ361" s="758"/>
      <c r="CK361" s="1020"/>
      <c r="CL361" s="1020"/>
      <c r="CM361" s="1020"/>
      <c r="CN361" s="1020"/>
      <c r="CQ361" s="1020"/>
      <c r="CR361" s="1020"/>
      <c r="CS361" s="1020"/>
      <c r="CT361" s="1020"/>
      <c r="CW361" s="1020"/>
      <c r="CX361" s="1020"/>
      <c r="CY361" s="1020"/>
      <c r="CZ361" s="1020"/>
      <c r="DC361" s="1020"/>
      <c r="DD361" s="1020"/>
      <c r="DE361" s="1020"/>
      <c r="DF361" s="1020"/>
      <c r="DI361" s="1020"/>
      <c r="DJ361" s="1020"/>
      <c r="DK361" s="1020"/>
      <c r="DL361" s="1020"/>
      <c r="DO361" s="1020"/>
      <c r="DP361" s="1020"/>
      <c r="DQ361" s="1020"/>
      <c r="DR361" s="1020"/>
      <c r="DW361" s="1020"/>
      <c r="DX361" s="1020"/>
      <c r="DY361" s="1020"/>
      <c r="DZ361" s="1020"/>
      <c r="EE361" s="1020"/>
      <c r="EF361" s="1020"/>
      <c r="EG361" s="1020"/>
      <c r="EH361" s="1020"/>
      <c r="EK361" s="1020"/>
      <c r="EL361" s="1020"/>
      <c r="EM361" s="1020"/>
      <c r="EN361" s="1020"/>
      <c r="EQ361" s="1020"/>
      <c r="ER361" s="1020"/>
      <c r="ES361" s="1020"/>
      <c r="ET361" s="1020"/>
      <c r="EW361" s="1020"/>
      <c r="EX361" s="1020"/>
      <c r="EY361" s="1020"/>
      <c r="EZ361" s="1020"/>
      <c r="FF361" s="758"/>
      <c r="FG361" s="1020"/>
      <c r="FH361" s="1020"/>
      <c r="FI361" s="1020"/>
      <c r="FJ361" s="1020"/>
      <c r="FL361" s="758"/>
      <c r="FM361" s="1020"/>
      <c r="FN361" s="1020"/>
      <c r="FO361" s="1020"/>
      <c r="FP361" s="1020"/>
      <c r="FR361" s="758"/>
      <c r="FS361" s="1020"/>
      <c r="FT361" s="1020"/>
      <c r="FU361" s="1020"/>
      <c r="FV361" s="1020"/>
      <c r="FX361" s="758"/>
      <c r="FZ361" s="758"/>
      <c r="GB361" s="758"/>
      <c r="GD361" s="758"/>
      <c r="GF361" s="758"/>
      <c r="GH361" s="758"/>
    </row>
    <row r="362" spans="5:190">
      <c r="E362" s="1131" t="s">
        <v>1715</v>
      </c>
      <c r="F362" s="1132"/>
      <c r="G362" s="1132"/>
      <c r="H362" s="1132"/>
      <c r="I362" s="1128" t="s">
        <v>231</v>
      </c>
      <c r="J362" s="1129"/>
      <c r="K362" s="1129"/>
      <c r="L362" s="1129"/>
      <c r="M362" s="1129"/>
      <c r="N362" s="1129"/>
      <c r="O362" s="1129"/>
      <c r="P362" s="1129"/>
      <c r="Q362" s="1130"/>
      <c r="R362" s="1020"/>
      <c r="S362" s="1020"/>
      <c r="T362" s="1020"/>
      <c r="U362" s="1020"/>
      <c r="X362" s="1020"/>
      <c r="Y362" s="1020"/>
      <c r="Z362" s="1020"/>
      <c r="AA362" s="1020"/>
      <c r="AD362" s="1020"/>
      <c r="AE362" s="1020"/>
      <c r="AF362" s="1020"/>
      <c r="AG362" s="1020"/>
      <c r="AL362" s="1020"/>
      <c r="AM362" s="1020"/>
      <c r="AN362" s="1020"/>
      <c r="AO362" s="1020"/>
      <c r="AR362" s="1020"/>
      <c r="AS362" s="1020"/>
      <c r="AT362" s="1020"/>
      <c r="AU362" s="1020"/>
      <c r="AX362" s="1020"/>
      <c r="AY362" s="1020"/>
      <c r="AZ362" s="1020"/>
      <c r="BA362" s="1020"/>
      <c r="BD362" s="1020"/>
      <c r="BE362" s="1020"/>
      <c r="BF362" s="1020"/>
      <c r="BG362" s="1020"/>
      <c r="BJ362" s="1020"/>
      <c r="BK362" s="1020"/>
      <c r="BL362" s="1020"/>
      <c r="BM362" s="1020"/>
      <c r="BR362" s="1020"/>
      <c r="BS362" s="1020"/>
      <c r="BT362" s="1020"/>
      <c r="BU362" s="1020"/>
      <c r="CE362" s="1020"/>
      <c r="CF362" s="1020"/>
      <c r="CG362" s="1020"/>
      <c r="CH362" s="1020"/>
      <c r="CJ362" s="758"/>
      <c r="CK362" s="1020"/>
      <c r="CL362" s="1020"/>
      <c r="CM362" s="1020"/>
      <c r="CN362" s="1020"/>
      <c r="CQ362" s="1020"/>
      <c r="CR362" s="1020"/>
      <c r="CS362" s="1020"/>
      <c r="CT362" s="1020"/>
      <c r="CW362" s="1020"/>
      <c r="CX362" s="1020"/>
      <c r="CY362" s="1020"/>
      <c r="CZ362" s="1020"/>
      <c r="DC362" s="1020"/>
      <c r="DD362" s="1020"/>
      <c r="DE362" s="1020"/>
      <c r="DF362" s="1020"/>
      <c r="DI362" s="1020"/>
      <c r="DJ362" s="1020"/>
      <c r="DK362" s="1020"/>
      <c r="DL362" s="1020"/>
      <c r="DO362" s="1020"/>
      <c r="DP362" s="1020"/>
      <c r="DQ362" s="1020"/>
      <c r="DR362" s="1020"/>
      <c r="DW362" s="1020"/>
      <c r="DX362" s="1020"/>
      <c r="DY362" s="1020"/>
      <c r="DZ362" s="1020"/>
      <c r="EE362" s="1020"/>
      <c r="EF362" s="1020"/>
      <c r="EG362" s="1020"/>
      <c r="EH362" s="1020"/>
      <c r="EK362" s="1020"/>
      <c r="EL362" s="1020"/>
      <c r="EM362" s="1020"/>
      <c r="EN362" s="1020"/>
      <c r="EQ362" s="1020"/>
      <c r="ER362" s="1020"/>
      <c r="ES362" s="1020"/>
      <c r="ET362" s="1020"/>
      <c r="EW362" s="1020"/>
      <c r="EX362" s="1020"/>
      <c r="EY362" s="1020"/>
      <c r="EZ362" s="1020"/>
      <c r="FF362" s="758"/>
      <c r="FG362" s="1020"/>
      <c r="FH362" s="1020"/>
      <c r="FI362" s="1020"/>
      <c r="FJ362" s="1020"/>
      <c r="FL362" s="758"/>
      <c r="FM362" s="1020"/>
      <c r="FN362" s="1020"/>
      <c r="FO362" s="1020"/>
      <c r="FP362" s="1020"/>
      <c r="FR362" s="758"/>
      <c r="FS362" s="1020"/>
      <c r="FT362" s="1020"/>
      <c r="FU362" s="1020"/>
      <c r="FV362" s="1020"/>
      <c r="FX362" s="758"/>
      <c r="FZ362" s="758"/>
      <c r="GB362" s="758"/>
      <c r="GD362" s="758"/>
      <c r="GF362" s="758"/>
      <c r="GH362" s="758"/>
    </row>
    <row r="363" spans="5:190">
      <c r="E363" s="1095" t="s">
        <v>1368</v>
      </c>
      <c r="F363" s="1133"/>
      <c r="G363" s="1133"/>
      <c r="H363" s="1134"/>
      <c r="I363" s="1128" t="s">
        <v>231</v>
      </c>
      <c r="J363" s="1129"/>
      <c r="K363" s="1129"/>
      <c r="L363" s="1129"/>
      <c r="M363" s="1129"/>
      <c r="N363" s="1129"/>
      <c r="O363" s="1129"/>
      <c r="P363" s="1129"/>
      <c r="Q363" s="1130"/>
      <c r="R363" s="1020"/>
      <c r="S363" s="1020"/>
      <c r="T363" s="1020"/>
      <c r="U363" s="1020"/>
      <c r="X363" s="1020"/>
      <c r="Y363" s="1020"/>
      <c r="Z363" s="1020"/>
      <c r="AA363" s="1020"/>
      <c r="AD363" s="1020"/>
      <c r="AE363" s="1020"/>
      <c r="AF363" s="1020"/>
      <c r="AG363" s="1020"/>
      <c r="AL363" s="1020"/>
      <c r="AM363" s="1020"/>
      <c r="AN363" s="1020"/>
      <c r="AO363" s="1020"/>
      <c r="AR363" s="1020"/>
      <c r="AS363" s="1020"/>
      <c r="AT363" s="1020"/>
      <c r="AU363" s="1020"/>
      <c r="AX363" s="1020"/>
      <c r="AY363" s="1020"/>
      <c r="AZ363" s="1020"/>
      <c r="BA363" s="1020"/>
      <c r="BD363" s="1020"/>
      <c r="BE363" s="1020"/>
      <c r="BF363" s="1020"/>
      <c r="BG363" s="1020"/>
      <c r="BJ363" s="1020"/>
      <c r="BK363" s="1020"/>
      <c r="BL363" s="1020"/>
      <c r="BM363" s="1020"/>
      <c r="BR363" s="1020"/>
      <c r="BS363" s="1020"/>
      <c r="BT363" s="1020"/>
      <c r="BU363" s="1020"/>
      <c r="CE363" s="1020"/>
      <c r="CF363" s="1020"/>
      <c r="CG363" s="1020"/>
      <c r="CH363" s="1020"/>
      <c r="CJ363" s="758"/>
      <c r="CK363" s="1020"/>
      <c r="CL363" s="1020"/>
      <c r="CM363" s="1020"/>
      <c r="CN363" s="1020"/>
      <c r="CQ363" s="1020"/>
      <c r="CR363" s="1020"/>
      <c r="CS363" s="1020"/>
      <c r="CT363" s="1020"/>
      <c r="CW363" s="1020"/>
      <c r="CX363" s="1020"/>
      <c r="CY363" s="1020"/>
      <c r="CZ363" s="1020"/>
      <c r="DC363" s="1020"/>
      <c r="DD363" s="1020"/>
      <c r="DE363" s="1020"/>
      <c r="DF363" s="1020"/>
      <c r="DI363" s="1020"/>
      <c r="DJ363" s="1020"/>
      <c r="DK363" s="1020"/>
      <c r="DL363" s="1020"/>
      <c r="DO363" s="1020"/>
      <c r="DP363" s="1020"/>
      <c r="DQ363" s="1020"/>
      <c r="DR363" s="1020"/>
      <c r="DW363" s="1020"/>
      <c r="DX363" s="1020"/>
      <c r="DY363" s="1020"/>
      <c r="DZ363" s="1020"/>
      <c r="EE363" s="1020"/>
      <c r="EF363" s="1020"/>
      <c r="EG363" s="1020"/>
      <c r="EH363" s="1020"/>
      <c r="EK363" s="1020"/>
      <c r="EL363" s="1020"/>
      <c r="EM363" s="1020"/>
      <c r="EN363" s="1020"/>
      <c r="EQ363" s="1020"/>
      <c r="ER363" s="1020"/>
      <c r="ES363" s="1020"/>
      <c r="ET363" s="1020"/>
      <c r="EW363" s="1020"/>
      <c r="EX363" s="1020"/>
      <c r="EY363" s="1020"/>
      <c r="EZ363" s="1020"/>
      <c r="FF363" s="758"/>
      <c r="FG363" s="1020"/>
      <c r="FH363" s="1020"/>
      <c r="FI363" s="1020"/>
      <c r="FJ363" s="1020"/>
      <c r="FL363" s="758"/>
      <c r="FM363" s="1020"/>
      <c r="FN363" s="1020"/>
      <c r="FO363" s="1020"/>
      <c r="FP363" s="1020"/>
      <c r="FR363" s="758"/>
      <c r="FS363" s="1020"/>
      <c r="FT363" s="1020"/>
      <c r="FU363" s="1020"/>
      <c r="FV363" s="1020"/>
      <c r="FX363" s="758"/>
      <c r="FZ363" s="758"/>
      <c r="GB363" s="758"/>
      <c r="GD363" s="758"/>
      <c r="GF363" s="758"/>
      <c r="GH363" s="758"/>
    </row>
    <row r="364" spans="5:190">
      <c r="E364" s="1098" t="s">
        <v>751</v>
      </c>
      <c r="F364" s="1103"/>
      <c r="G364" s="1103"/>
      <c r="H364" s="1104"/>
      <c r="I364" s="1105" t="s">
        <v>231</v>
      </c>
      <c r="J364" s="1106"/>
      <c r="K364" s="1106"/>
      <c r="L364" s="1106"/>
      <c r="M364" s="1106"/>
      <c r="N364" s="1106"/>
      <c r="O364" s="1106"/>
      <c r="P364" s="1106"/>
      <c r="Q364" s="1107"/>
      <c r="R364" s="804"/>
      <c r="S364" s="804"/>
      <c r="T364" s="804"/>
      <c r="U364" s="804"/>
      <c r="X364" s="804"/>
      <c r="Y364" s="804"/>
      <c r="Z364" s="804"/>
      <c r="AA364" s="804"/>
      <c r="AD364" s="804"/>
      <c r="AE364" s="804"/>
      <c r="AF364" s="804"/>
      <c r="AG364" s="804"/>
      <c r="AL364" s="804"/>
      <c r="AM364" s="804"/>
      <c r="AN364" s="804"/>
      <c r="AO364" s="804"/>
      <c r="AR364" s="804"/>
      <c r="AS364" s="804"/>
      <c r="AT364" s="804"/>
      <c r="AU364" s="804"/>
      <c r="AX364" s="804"/>
      <c r="AY364" s="804"/>
      <c r="AZ364" s="804"/>
      <c r="BA364" s="804"/>
      <c r="BD364" s="804"/>
      <c r="BE364" s="804"/>
      <c r="BF364" s="804"/>
      <c r="BG364" s="804"/>
      <c r="BJ364" s="804"/>
      <c r="BK364" s="804"/>
      <c r="BL364" s="804"/>
      <c r="BM364" s="804"/>
      <c r="BR364" s="804"/>
      <c r="BS364" s="804"/>
      <c r="BT364" s="804"/>
      <c r="BU364" s="804"/>
      <c r="CE364" s="804"/>
      <c r="CF364" s="804"/>
      <c r="CG364" s="804"/>
      <c r="CH364" s="804"/>
      <c r="CK364" s="804"/>
      <c r="CL364" s="804"/>
      <c r="CM364" s="804"/>
      <c r="CN364" s="804"/>
      <c r="CQ364" s="804"/>
      <c r="CR364" s="804"/>
      <c r="CS364" s="804"/>
      <c r="CT364" s="804"/>
      <c r="CW364" s="804"/>
      <c r="CX364" s="804"/>
      <c r="CY364" s="804"/>
      <c r="CZ364" s="804"/>
      <c r="DC364" s="804"/>
      <c r="DD364" s="804"/>
      <c r="DE364" s="804"/>
      <c r="DF364" s="804"/>
      <c r="DI364" s="804"/>
      <c r="DJ364" s="804"/>
      <c r="DK364" s="804"/>
      <c r="DL364" s="804"/>
      <c r="DO364" s="804"/>
      <c r="DP364" s="804"/>
      <c r="DQ364" s="804"/>
      <c r="DR364" s="804"/>
      <c r="DW364" s="804"/>
      <c r="DX364" s="804"/>
      <c r="DY364" s="804"/>
      <c r="DZ364" s="804"/>
      <c r="EE364" s="804"/>
      <c r="EF364" s="804"/>
      <c r="EG364" s="804"/>
      <c r="EH364" s="804"/>
      <c r="EK364" s="804"/>
      <c r="EL364" s="804"/>
      <c r="EM364" s="804"/>
      <c r="EN364" s="804"/>
      <c r="EQ364" s="804"/>
      <c r="ER364" s="804"/>
      <c r="ES364" s="804"/>
      <c r="ET364" s="804"/>
      <c r="EW364" s="804"/>
      <c r="EX364" s="804"/>
      <c r="EY364" s="804"/>
      <c r="EZ364" s="804"/>
      <c r="FG364" s="804"/>
      <c r="FH364" s="804"/>
      <c r="FI364" s="804"/>
      <c r="FJ364" s="804"/>
      <c r="FM364" s="804"/>
      <c r="FN364" s="804"/>
      <c r="FO364" s="804"/>
      <c r="FP364" s="804"/>
      <c r="FS364" s="804"/>
      <c r="FT364" s="804"/>
      <c r="FU364" s="804"/>
      <c r="FV364" s="804"/>
    </row>
    <row r="365" spans="5:190" ht="49.5" customHeight="1">
      <c r="E365" s="1098" t="s">
        <v>54</v>
      </c>
      <c r="F365" s="1103"/>
      <c r="G365" s="1103"/>
      <c r="H365" s="1104"/>
      <c r="I365" s="1065" t="s">
        <v>1754</v>
      </c>
      <c r="J365" s="1066"/>
      <c r="K365" s="1066"/>
      <c r="L365" s="1066"/>
      <c r="M365" s="1066"/>
      <c r="N365" s="1066"/>
      <c r="O365" s="1066"/>
      <c r="P365" s="1066"/>
      <c r="Q365" s="1067"/>
      <c r="R365" s="1021"/>
      <c r="S365" s="1021"/>
      <c r="T365" s="1021"/>
      <c r="U365" s="1021"/>
      <c r="X365" s="1021"/>
      <c r="Y365" s="1021"/>
      <c r="Z365" s="1021"/>
      <c r="AA365" s="1021"/>
      <c r="AD365" s="1021"/>
      <c r="AE365" s="1021"/>
      <c r="AF365" s="1021"/>
      <c r="AG365" s="1021"/>
      <c r="AL365" s="1021"/>
      <c r="AM365" s="1021"/>
      <c r="AN365" s="1021"/>
      <c r="AO365" s="1021"/>
      <c r="AR365" s="1021"/>
      <c r="AS365" s="1021"/>
      <c r="AT365" s="1021"/>
      <c r="AU365" s="1021"/>
      <c r="AX365" s="1021"/>
      <c r="AY365" s="1021"/>
      <c r="AZ365" s="1021"/>
      <c r="BA365" s="1021"/>
      <c r="BD365" s="1021"/>
      <c r="BE365" s="1021"/>
      <c r="BF365" s="1021"/>
      <c r="BG365" s="1021"/>
      <c r="BJ365" s="1021"/>
      <c r="BK365" s="1021"/>
      <c r="BL365" s="1021"/>
      <c r="BM365" s="1021"/>
      <c r="BR365" s="1021"/>
      <c r="BS365" s="1021"/>
      <c r="BT365" s="1021"/>
      <c r="BU365" s="1021"/>
      <c r="CE365" s="1021"/>
      <c r="CF365" s="1021"/>
      <c r="CG365" s="1021"/>
      <c r="CH365" s="1021"/>
      <c r="CJ365" s="758"/>
      <c r="CK365" s="1021"/>
      <c r="CL365" s="1021"/>
      <c r="CM365" s="1021"/>
      <c r="CN365" s="1021"/>
      <c r="CQ365" s="1021"/>
      <c r="CR365" s="1021"/>
      <c r="CS365" s="1021"/>
      <c r="CT365" s="1021"/>
      <c r="CW365" s="1021"/>
      <c r="CX365" s="1021"/>
      <c r="CY365" s="1021"/>
      <c r="CZ365" s="1021"/>
      <c r="DC365" s="1021"/>
      <c r="DD365" s="1021"/>
      <c r="DE365" s="1021"/>
      <c r="DF365" s="1021"/>
      <c r="DI365" s="1021"/>
      <c r="DJ365" s="1021"/>
      <c r="DK365" s="1021"/>
      <c r="DL365" s="1021"/>
      <c r="DO365" s="1021"/>
      <c r="DP365" s="1021"/>
      <c r="DQ365" s="1021"/>
      <c r="DR365" s="1021"/>
      <c r="DW365" s="1021"/>
      <c r="DX365" s="1021"/>
      <c r="DY365" s="1021"/>
      <c r="DZ365" s="1021"/>
      <c r="EE365" s="1021"/>
      <c r="EF365" s="1021"/>
      <c r="EG365" s="1021"/>
      <c r="EH365" s="1021"/>
      <c r="EK365" s="1021"/>
      <c r="EL365" s="1021"/>
      <c r="EM365" s="1021"/>
      <c r="EN365" s="1021"/>
      <c r="EQ365" s="1021"/>
      <c r="ER365" s="1021"/>
      <c r="ES365" s="1021"/>
      <c r="ET365" s="1021"/>
      <c r="EW365" s="1021"/>
      <c r="EX365" s="1021"/>
      <c r="EY365" s="1021"/>
      <c r="EZ365" s="1021"/>
      <c r="FF365" s="758"/>
      <c r="FG365" s="1021"/>
      <c r="FH365" s="1021"/>
      <c r="FI365" s="1021"/>
      <c r="FJ365" s="1021"/>
      <c r="FL365" s="758"/>
      <c r="FM365" s="1021"/>
      <c r="FN365" s="1021"/>
      <c r="FO365" s="1021"/>
      <c r="FP365" s="1021"/>
      <c r="FR365" s="758"/>
      <c r="FS365" s="1021"/>
      <c r="FT365" s="1021"/>
      <c r="FU365" s="1021"/>
      <c r="FV365" s="1021"/>
      <c r="FX365" s="758"/>
      <c r="FZ365" s="758"/>
      <c r="GB365" s="758"/>
      <c r="GD365" s="758"/>
      <c r="GF365" s="758"/>
      <c r="GH365" s="758"/>
    </row>
    <row r="366" spans="5:190" ht="42.75" customHeight="1">
      <c r="E366" s="1108" t="s">
        <v>1716</v>
      </c>
      <c r="F366" s="1109"/>
      <c r="G366" s="1109"/>
      <c r="H366" s="1110"/>
      <c r="I366" s="1069" t="s">
        <v>1755</v>
      </c>
      <c r="J366" s="1070"/>
      <c r="K366" s="1070"/>
      <c r="L366" s="1070"/>
      <c r="M366" s="1070"/>
      <c r="N366" s="1070"/>
      <c r="O366" s="1070"/>
      <c r="P366" s="1070"/>
      <c r="Q366" s="1071"/>
      <c r="R366" s="1022"/>
      <c r="S366" s="1022"/>
      <c r="T366" s="1022"/>
      <c r="U366" s="1022"/>
      <c r="X366" s="1022"/>
      <c r="Y366" s="1022"/>
      <c r="Z366" s="1022"/>
      <c r="AA366" s="1022"/>
      <c r="AD366" s="1022"/>
      <c r="AE366" s="1022"/>
      <c r="AF366" s="1022"/>
      <c r="AG366" s="1022"/>
      <c r="AL366" s="1022"/>
      <c r="AM366" s="1022"/>
      <c r="AN366" s="1022"/>
      <c r="AO366" s="1022"/>
      <c r="AR366" s="1022"/>
      <c r="AS366" s="1022"/>
      <c r="AT366" s="1022"/>
      <c r="AU366" s="1022"/>
      <c r="AX366" s="1022"/>
      <c r="AY366" s="1022"/>
      <c r="AZ366" s="1022"/>
      <c r="BA366" s="1022"/>
      <c r="BD366" s="1022"/>
      <c r="BE366" s="1022"/>
      <c r="BF366" s="1022"/>
      <c r="BG366" s="1022"/>
      <c r="BJ366" s="1022"/>
      <c r="BK366" s="1022"/>
      <c r="BL366" s="1022"/>
      <c r="BM366" s="1022"/>
      <c r="BR366" s="1022"/>
      <c r="BS366" s="1022"/>
      <c r="BT366" s="1022"/>
      <c r="BU366" s="1022"/>
      <c r="CE366" s="1022"/>
      <c r="CF366" s="1022"/>
      <c r="CG366" s="1022"/>
      <c r="CH366" s="1022"/>
      <c r="CJ366" s="758"/>
      <c r="CK366" s="1022"/>
      <c r="CL366" s="1022"/>
      <c r="CM366" s="1022"/>
      <c r="CN366" s="1022"/>
      <c r="CQ366" s="1022"/>
      <c r="CR366" s="1022"/>
      <c r="CS366" s="1022"/>
      <c r="CT366" s="1022"/>
      <c r="CW366" s="1022"/>
      <c r="CX366" s="1022"/>
      <c r="CY366" s="1022"/>
      <c r="CZ366" s="1022"/>
      <c r="DC366" s="1022"/>
      <c r="DD366" s="1022"/>
      <c r="DE366" s="1022"/>
      <c r="DF366" s="1022"/>
      <c r="DI366" s="1022"/>
      <c r="DJ366" s="1022"/>
      <c r="DK366" s="1022"/>
      <c r="DL366" s="1022"/>
      <c r="DO366" s="1022"/>
      <c r="DP366" s="1022"/>
      <c r="DQ366" s="1022"/>
      <c r="DR366" s="1022"/>
      <c r="DW366" s="1022"/>
      <c r="DX366" s="1022"/>
      <c r="DY366" s="1022"/>
      <c r="DZ366" s="1022"/>
      <c r="EE366" s="1022"/>
      <c r="EF366" s="1022"/>
      <c r="EG366" s="1022"/>
      <c r="EH366" s="1022"/>
      <c r="EK366" s="1022"/>
      <c r="EL366" s="1022"/>
      <c r="EM366" s="1022"/>
      <c r="EN366" s="1022"/>
      <c r="EQ366" s="1022"/>
      <c r="ER366" s="1022"/>
      <c r="ES366" s="1022"/>
      <c r="ET366" s="1022"/>
      <c r="EW366" s="1022"/>
      <c r="EX366" s="1022"/>
      <c r="EY366" s="1022"/>
      <c r="EZ366" s="1022"/>
      <c r="FF366" s="758"/>
      <c r="FG366" s="1022"/>
      <c r="FH366" s="1022"/>
      <c r="FI366" s="1022"/>
      <c r="FJ366" s="1022"/>
      <c r="FL366" s="758"/>
      <c r="FM366" s="1022"/>
      <c r="FN366" s="1022"/>
      <c r="FO366" s="1022"/>
      <c r="FP366" s="1022"/>
      <c r="FR366" s="758"/>
      <c r="FS366" s="1022"/>
      <c r="FT366" s="1022"/>
      <c r="FU366" s="1022"/>
      <c r="FV366" s="1022"/>
      <c r="FX366" s="758"/>
      <c r="FZ366" s="758"/>
      <c r="GB366" s="758"/>
      <c r="GD366" s="758"/>
      <c r="GF366" s="758"/>
      <c r="GH366" s="758"/>
    </row>
    <row r="367" spans="5:190" ht="48" customHeight="1">
      <c r="E367" s="1098" t="s">
        <v>55</v>
      </c>
      <c r="F367" s="1103"/>
      <c r="G367" s="1103"/>
      <c r="H367" s="1104"/>
      <c r="I367" s="1105" t="s">
        <v>1756</v>
      </c>
      <c r="J367" s="1106"/>
      <c r="K367" s="1106"/>
      <c r="L367" s="1106"/>
      <c r="M367" s="1106"/>
      <c r="N367" s="1106"/>
      <c r="O367" s="1106"/>
      <c r="P367" s="1106"/>
      <c r="Q367" s="1107"/>
      <c r="R367" s="804"/>
      <c r="S367" s="804"/>
      <c r="T367" s="804"/>
      <c r="U367" s="804"/>
      <c r="X367" s="804"/>
      <c r="Y367" s="804"/>
      <c r="Z367" s="804"/>
      <c r="AA367" s="804"/>
      <c r="AD367" s="804"/>
      <c r="AE367" s="804"/>
      <c r="AF367" s="804"/>
      <c r="AG367" s="804"/>
      <c r="AL367" s="804"/>
      <c r="AM367" s="804"/>
      <c r="AN367" s="804"/>
      <c r="AO367" s="804"/>
      <c r="AR367" s="804"/>
      <c r="AS367" s="804"/>
      <c r="AT367" s="804"/>
      <c r="AU367" s="804"/>
      <c r="AX367" s="804"/>
      <c r="AY367" s="804"/>
      <c r="AZ367" s="804"/>
      <c r="BA367" s="804"/>
      <c r="BD367" s="804"/>
      <c r="BE367" s="804"/>
      <c r="BF367" s="804"/>
      <c r="BG367" s="804"/>
      <c r="BJ367" s="804"/>
      <c r="BK367" s="804"/>
      <c r="BL367" s="804"/>
      <c r="BM367" s="804"/>
      <c r="BR367" s="804"/>
      <c r="BS367" s="804"/>
      <c r="BT367" s="804"/>
      <c r="BU367" s="804"/>
      <c r="CE367" s="804"/>
      <c r="CF367" s="804"/>
      <c r="CG367" s="804"/>
      <c r="CH367" s="804"/>
      <c r="CJ367" s="758"/>
      <c r="CK367" s="804"/>
      <c r="CL367" s="804"/>
      <c r="CM367" s="804"/>
      <c r="CN367" s="804"/>
      <c r="CQ367" s="804"/>
      <c r="CR367" s="804"/>
      <c r="CS367" s="804"/>
      <c r="CT367" s="804"/>
      <c r="CW367" s="804"/>
      <c r="CX367" s="804"/>
      <c r="CY367" s="804"/>
      <c r="CZ367" s="804"/>
      <c r="DC367" s="804"/>
      <c r="DD367" s="804"/>
      <c r="DE367" s="804"/>
      <c r="DF367" s="804"/>
      <c r="DI367" s="804"/>
      <c r="DJ367" s="804"/>
      <c r="DK367" s="804"/>
      <c r="DL367" s="804"/>
      <c r="DO367" s="804"/>
      <c r="DP367" s="804"/>
      <c r="DQ367" s="804"/>
      <c r="DR367" s="804"/>
      <c r="DW367" s="804"/>
      <c r="DX367" s="804"/>
      <c r="DY367" s="804"/>
      <c r="DZ367" s="804"/>
      <c r="EE367" s="804"/>
      <c r="EF367" s="804"/>
      <c r="EG367" s="804"/>
      <c r="EH367" s="804"/>
      <c r="EK367" s="804"/>
      <c r="EL367" s="804"/>
      <c r="EM367" s="804"/>
      <c r="EN367" s="804"/>
      <c r="EQ367" s="804"/>
      <c r="ER367" s="804"/>
      <c r="ES367" s="804"/>
      <c r="ET367" s="804"/>
      <c r="EW367" s="804"/>
      <c r="EX367" s="804"/>
      <c r="EY367" s="804"/>
      <c r="EZ367" s="804"/>
      <c r="FF367" s="758"/>
      <c r="FG367" s="804"/>
      <c r="FH367" s="804"/>
      <c r="FI367" s="804"/>
      <c r="FJ367" s="804"/>
      <c r="FL367" s="758"/>
      <c r="FM367" s="804"/>
      <c r="FN367" s="804"/>
      <c r="FO367" s="804"/>
      <c r="FP367" s="804"/>
      <c r="FR367" s="758"/>
      <c r="FS367" s="804"/>
      <c r="FT367" s="804"/>
      <c r="FU367" s="804"/>
      <c r="FV367" s="804"/>
      <c r="FX367" s="758"/>
      <c r="FZ367" s="758"/>
      <c r="GB367" s="758"/>
      <c r="GD367" s="758"/>
      <c r="GF367" s="758"/>
      <c r="GH367" s="758"/>
    </row>
    <row r="368" spans="5:190" ht="47.25" customHeight="1">
      <c r="E368" s="1108" t="s">
        <v>1717</v>
      </c>
      <c r="F368" s="1109"/>
      <c r="G368" s="1109"/>
      <c r="H368" s="1110"/>
      <c r="I368" s="1069" t="s">
        <v>1757</v>
      </c>
      <c r="J368" s="1070"/>
      <c r="K368" s="1070"/>
      <c r="L368" s="1070"/>
      <c r="M368" s="1070"/>
      <c r="N368" s="1070"/>
      <c r="O368" s="1070"/>
      <c r="P368" s="1070"/>
      <c r="Q368" s="1071"/>
      <c r="R368" s="1022"/>
      <c r="S368" s="1022"/>
      <c r="T368" s="1022"/>
      <c r="U368" s="1022"/>
      <c r="X368" s="1022"/>
      <c r="Y368" s="1022"/>
      <c r="Z368" s="1022"/>
      <c r="AA368" s="1022"/>
      <c r="AD368" s="1022"/>
      <c r="AE368" s="1022"/>
      <c r="AF368" s="1022"/>
      <c r="AG368" s="1022"/>
      <c r="AL368" s="1022"/>
      <c r="AM368" s="1022"/>
      <c r="AN368" s="1022"/>
      <c r="AO368" s="1022"/>
      <c r="AR368" s="1022"/>
      <c r="AS368" s="1022"/>
      <c r="AT368" s="1022"/>
      <c r="AU368" s="1022"/>
      <c r="AX368" s="1022"/>
      <c r="AY368" s="1022"/>
      <c r="AZ368" s="1022"/>
      <c r="BA368" s="1022"/>
      <c r="BD368" s="1022"/>
      <c r="BE368" s="1022"/>
      <c r="BF368" s="1022"/>
      <c r="BG368" s="1022"/>
      <c r="BJ368" s="1022"/>
      <c r="BK368" s="1022"/>
      <c r="BL368" s="1022"/>
      <c r="BM368" s="1022"/>
      <c r="BR368" s="1022"/>
      <c r="BS368" s="1022"/>
      <c r="BT368" s="1022"/>
      <c r="BU368" s="1022"/>
      <c r="CE368" s="1022"/>
      <c r="CF368" s="1022"/>
      <c r="CG368" s="1022"/>
      <c r="CH368" s="1022"/>
      <c r="CJ368" s="758"/>
      <c r="CK368" s="1022"/>
      <c r="CL368" s="1022"/>
      <c r="CM368" s="1022"/>
      <c r="CN368" s="1022"/>
      <c r="CQ368" s="1022"/>
      <c r="CR368" s="1022"/>
      <c r="CS368" s="1022"/>
      <c r="CT368" s="1022"/>
      <c r="CW368" s="1022"/>
      <c r="CX368" s="1022"/>
      <c r="CY368" s="1022"/>
      <c r="CZ368" s="1022"/>
      <c r="DC368" s="1022"/>
      <c r="DD368" s="1022"/>
      <c r="DE368" s="1022"/>
      <c r="DF368" s="1022"/>
      <c r="DI368" s="1022"/>
      <c r="DJ368" s="1022"/>
      <c r="DK368" s="1022"/>
      <c r="DL368" s="1022"/>
      <c r="DO368" s="1022"/>
      <c r="DP368" s="1022"/>
      <c r="DQ368" s="1022"/>
      <c r="DR368" s="1022"/>
      <c r="DW368" s="1022"/>
      <c r="DX368" s="1022"/>
      <c r="DY368" s="1022"/>
      <c r="DZ368" s="1022"/>
      <c r="EE368" s="1022"/>
      <c r="EF368" s="1022"/>
      <c r="EG368" s="1022"/>
      <c r="EH368" s="1022"/>
      <c r="EK368" s="1022"/>
      <c r="EL368" s="1022"/>
      <c r="EM368" s="1022"/>
      <c r="EN368" s="1022"/>
      <c r="EQ368" s="1022"/>
      <c r="ER368" s="1022"/>
      <c r="ES368" s="1022"/>
      <c r="ET368" s="1022"/>
      <c r="EW368" s="1022"/>
      <c r="EX368" s="1022"/>
      <c r="EY368" s="1022"/>
      <c r="EZ368" s="1022"/>
      <c r="FF368" s="758"/>
      <c r="FG368" s="1022"/>
      <c r="FH368" s="1022"/>
      <c r="FI368" s="1022"/>
      <c r="FJ368" s="1022"/>
      <c r="FL368" s="758"/>
      <c r="FM368" s="1022"/>
      <c r="FN368" s="1022"/>
      <c r="FO368" s="1022"/>
      <c r="FP368" s="1022"/>
      <c r="FR368" s="758"/>
      <c r="FS368" s="1022"/>
      <c r="FT368" s="1022"/>
      <c r="FU368" s="1022"/>
      <c r="FV368" s="1022"/>
      <c r="FX368" s="758"/>
      <c r="FZ368" s="758"/>
      <c r="GB368" s="758"/>
      <c r="GD368" s="758"/>
      <c r="GF368" s="758"/>
      <c r="GH368" s="758"/>
    </row>
    <row r="369" spans="5:190" ht="58.5" customHeight="1">
      <c r="E369" s="1108" t="s">
        <v>1718</v>
      </c>
      <c r="F369" s="1109"/>
      <c r="G369" s="1109"/>
      <c r="H369" s="1110"/>
      <c r="I369" s="1069" t="s">
        <v>1758</v>
      </c>
      <c r="J369" s="1070"/>
      <c r="K369" s="1070"/>
      <c r="L369" s="1070"/>
      <c r="M369" s="1070"/>
      <c r="N369" s="1070"/>
      <c r="O369" s="1070"/>
      <c r="P369" s="1070"/>
      <c r="Q369" s="1071"/>
      <c r="R369" s="1022"/>
      <c r="S369" s="1022"/>
      <c r="T369" s="1022"/>
      <c r="U369" s="1022"/>
      <c r="X369" s="1022"/>
      <c r="Y369" s="1022"/>
      <c r="Z369" s="1022"/>
      <c r="AA369" s="1022"/>
      <c r="AD369" s="1022"/>
      <c r="AE369" s="1022"/>
      <c r="AF369" s="1022"/>
      <c r="AG369" s="1022"/>
      <c r="AL369" s="1022"/>
      <c r="AM369" s="1022"/>
      <c r="AN369" s="1022"/>
      <c r="AO369" s="1022"/>
      <c r="AR369" s="1022"/>
      <c r="AS369" s="1022"/>
      <c r="AT369" s="1022"/>
      <c r="AU369" s="1022"/>
      <c r="AX369" s="1022"/>
      <c r="AY369" s="1022"/>
      <c r="AZ369" s="1022"/>
      <c r="BA369" s="1022"/>
      <c r="BD369" s="1022"/>
      <c r="BE369" s="1022"/>
      <c r="BF369" s="1022"/>
      <c r="BG369" s="1022"/>
      <c r="BJ369" s="1022"/>
      <c r="BK369" s="1022"/>
      <c r="BL369" s="1022"/>
      <c r="BM369" s="1022"/>
      <c r="BR369" s="1022"/>
      <c r="BS369" s="1022"/>
      <c r="BT369" s="1022"/>
      <c r="BU369" s="1022"/>
      <c r="CE369" s="1022"/>
      <c r="CF369" s="1022"/>
      <c r="CG369" s="1022"/>
      <c r="CH369" s="1022"/>
      <c r="CJ369" s="758"/>
      <c r="CK369" s="1022"/>
      <c r="CL369" s="1022"/>
      <c r="CM369" s="1022"/>
      <c r="CN369" s="1022"/>
      <c r="CQ369" s="1022"/>
      <c r="CR369" s="1022"/>
      <c r="CS369" s="1022"/>
      <c r="CT369" s="1022"/>
      <c r="CW369" s="1022"/>
      <c r="CX369" s="1022"/>
      <c r="CY369" s="1022"/>
      <c r="CZ369" s="1022"/>
      <c r="DC369" s="1022"/>
      <c r="DD369" s="1022"/>
      <c r="DE369" s="1022"/>
      <c r="DF369" s="1022"/>
      <c r="DI369" s="1022"/>
      <c r="DJ369" s="1022"/>
      <c r="DK369" s="1022"/>
      <c r="DL369" s="1022"/>
      <c r="DO369" s="1022"/>
      <c r="DP369" s="1022"/>
      <c r="DQ369" s="1022"/>
      <c r="DR369" s="1022"/>
      <c r="DW369" s="1022"/>
      <c r="DX369" s="1022"/>
      <c r="DY369" s="1022"/>
      <c r="DZ369" s="1022"/>
      <c r="EE369" s="1022"/>
      <c r="EF369" s="1022"/>
      <c r="EG369" s="1022"/>
      <c r="EH369" s="1022"/>
      <c r="EK369" s="1022"/>
      <c r="EL369" s="1022"/>
      <c r="EM369" s="1022"/>
      <c r="EN369" s="1022"/>
      <c r="EQ369" s="1022"/>
      <c r="ER369" s="1022"/>
      <c r="ES369" s="1022"/>
      <c r="ET369" s="1022"/>
      <c r="EW369" s="1022"/>
      <c r="EX369" s="1022"/>
      <c r="EY369" s="1022"/>
      <c r="EZ369" s="1022"/>
      <c r="FF369" s="758"/>
      <c r="FG369" s="1022"/>
      <c r="FH369" s="1022"/>
      <c r="FI369" s="1022"/>
      <c r="FJ369" s="1022"/>
      <c r="FL369" s="758"/>
      <c r="FM369" s="1022"/>
      <c r="FN369" s="1022"/>
      <c r="FO369" s="1022"/>
      <c r="FP369" s="1022"/>
      <c r="FR369" s="758"/>
      <c r="FS369" s="1022"/>
      <c r="FT369" s="1022"/>
      <c r="FU369" s="1022"/>
      <c r="FV369" s="1022"/>
      <c r="FX369" s="758"/>
      <c r="FZ369" s="758"/>
      <c r="GB369" s="758"/>
      <c r="GD369" s="758"/>
      <c r="GF369" s="758"/>
      <c r="GH369" s="758"/>
    </row>
    <row r="370" spans="5:190" ht="40.5" customHeight="1">
      <c r="E370" s="1039" t="s">
        <v>983</v>
      </c>
      <c r="F370" s="1040"/>
      <c r="G370" s="1040"/>
      <c r="H370" s="1040"/>
      <c r="I370" s="1065" t="s">
        <v>231</v>
      </c>
      <c r="J370" s="1085"/>
      <c r="K370" s="1085"/>
      <c r="L370" s="1085"/>
      <c r="M370" s="1085"/>
      <c r="N370" s="1085"/>
      <c r="O370" s="1085"/>
      <c r="P370" s="1085"/>
      <c r="Q370" s="1086"/>
      <c r="R370" s="1018"/>
      <c r="S370" s="1018"/>
      <c r="T370" s="1018"/>
      <c r="U370" s="1018"/>
      <c r="X370" s="1018"/>
      <c r="Y370" s="1018"/>
      <c r="Z370" s="1018"/>
      <c r="AA370" s="1018"/>
      <c r="AD370" s="1018"/>
      <c r="AE370" s="1018"/>
      <c r="AF370" s="1018"/>
      <c r="AG370" s="1018"/>
      <c r="AL370" s="1018"/>
      <c r="AM370" s="1018"/>
      <c r="AN370" s="1018"/>
      <c r="AO370" s="1018"/>
      <c r="AR370" s="1018"/>
      <c r="AS370" s="1018"/>
      <c r="AT370" s="1018"/>
      <c r="AU370" s="1018"/>
      <c r="AX370" s="1018"/>
      <c r="AY370" s="1018"/>
      <c r="AZ370" s="1018"/>
      <c r="BA370" s="1018"/>
      <c r="BD370" s="1018"/>
      <c r="BE370" s="1018"/>
      <c r="BF370" s="1018"/>
      <c r="BG370" s="1018"/>
      <c r="BJ370" s="1018"/>
      <c r="BK370" s="1018"/>
      <c r="BL370" s="1018"/>
      <c r="BM370" s="1018"/>
      <c r="BR370" s="1018"/>
      <c r="BS370" s="1018"/>
      <c r="BT370" s="1018"/>
      <c r="BU370" s="1018"/>
      <c r="CE370" s="1018"/>
      <c r="CF370" s="1018"/>
      <c r="CG370" s="1018"/>
      <c r="CH370" s="1018"/>
      <c r="CJ370" s="758"/>
      <c r="CK370" s="1018"/>
      <c r="CL370" s="1018"/>
      <c r="CM370" s="1018"/>
      <c r="CN370" s="1018"/>
      <c r="CQ370" s="1018"/>
      <c r="CR370" s="1018"/>
      <c r="CS370" s="1018"/>
      <c r="CT370" s="1018"/>
      <c r="CW370" s="1018"/>
      <c r="CX370" s="1018"/>
      <c r="CY370" s="1018"/>
      <c r="CZ370" s="1018"/>
      <c r="DC370" s="1018"/>
      <c r="DD370" s="1018"/>
      <c r="DE370" s="1018"/>
      <c r="DF370" s="1018"/>
      <c r="DI370" s="1018"/>
      <c r="DJ370" s="1018"/>
      <c r="DK370" s="1018"/>
      <c r="DL370" s="1018"/>
      <c r="DO370" s="1018"/>
      <c r="DP370" s="1018"/>
      <c r="DQ370" s="1018"/>
      <c r="DR370" s="1018"/>
      <c r="DW370" s="1018"/>
      <c r="DX370" s="1018"/>
      <c r="DY370" s="1018"/>
      <c r="DZ370" s="1018"/>
      <c r="EE370" s="1018"/>
      <c r="EF370" s="1018"/>
      <c r="EG370" s="1018"/>
      <c r="EH370" s="1018"/>
      <c r="EK370" s="1018"/>
      <c r="EL370" s="1018"/>
      <c r="EM370" s="1018"/>
      <c r="EN370" s="1018"/>
      <c r="EQ370" s="1018"/>
      <c r="ER370" s="1018"/>
      <c r="ES370" s="1018"/>
      <c r="ET370" s="1018"/>
      <c r="EW370" s="1018"/>
      <c r="EX370" s="1018"/>
      <c r="EY370" s="1018"/>
      <c r="EZ370" s="1018"/>
      <c r="FF370" s="758"/>
      <c r="FG370" s="1018"/>
      <c r="FH370" s="1018"/>
      <c r="FI370" s="1018"/>
      <c r="FJ370" s="1018"/>
      <c r="FL370" s="758"/>
      <c r="FM370" s="1018"/>
      <c r="FN370" s="1018"/>
      <c r="FO370" s="1018"/>
      <c r="FP370" s="1018"/>
      <c r="FR370" s="758"/>
      <c r="FS370" s="1018"/>
      <c r="FT370" s="1018"/>
      <c r="FU370" s="1018"/>
      <c r="FV370" s="1018"/>
      <c r="FX370" s="758"/>
      <c r="FZ370" s="758"/>
      <c r="GB370" s="758"/>
      <c r="GD370" s="758"/>
      <c r="GF370" s="758"/>
      <c r="GH370" s="758"/>
    </row>
    <row r="371" spans="5:190" ht="21" customHeight="1">
      <c r="E371" s="1095" t="s">
        <v>1759</v>
      </c>
      <c r="F371" s="1096"/>
      <c r="G371" s="1096"/>
      <c r="H371" s="1097"/>
      <c r="I371" s="1054" t="s">
        <v>231</v>
      </c>
      <c r="J371" s="1055"/>
      <c r="K371" s="1055"/>
      <c r="L371" s="1055"/>
      <c r="M371" s="1055"/>
      <c r="N371" s="1055"/>
      <c r="O371" s="1055"/>
      <c r="P371" s="1055"/>
      <c r="Q371" s="1056"/>
      <c r="R371" s="1019"/>
      <c r="S371" s="1019"/>
      <c r="T371" s="1019"/>
      <c r="U371" s="1019"/>
      <c r="X371" s="1019"/>
      <c r="Y371" s="1019"/>
      <c r="Z371" s="1019"/>
      <c r="AA371" s="1019"/>
      <c r="AD371" s="1019"/>
      <c r="AE371" s="1019"/>
      <c r="AF371" s="1019"/>
      <c r="AG371" s="1019"/>
      <c r="AL371" s="1019"/>
      <c r="AM371" s="1019"/>
      <c r="AN371" s="1019"/>
      <c r="AO371" s="1019"/>
      <c r="AR371" s="1019"/>
      <c r="AS371" s="1019"/>
      <c r="AT371" s="1019"/>
      <c r="AU371" s="1019"/>
      <c r="AX371" s="1019"/>
      <c r="AY371" s="1019"/>
      <c r="AZ371" s="1019"/>
      <c r="BA371" s="1019"/>
      <c r="BD371" s="1019"/>
      <c r="BE371" s="1019"/>
      <c r="BF371" s="1019"/>
      <c r="BG371" s="1019"/>
      <c r="BJ371" s="1019"/>
      <c r="BK371" s="1019"/>
      <c r="BL371" s="1019"/>
      <c r="BM371" s="1019"/>
      <c r="BR371" s="1019"/>
      <c r="BS371" s="1019"/>
      <c r="BT371" s="1019"/>
      <c r="BU371" s="1019"/>
      <c r="CE371" s="1019"/>
      <c r="CF371" s="1019"/>
      <c r="CG371" s="1019"/>
      <c r="CH371" s="1019"/>
      <c r="CJ371" s="758"/>
      <c r="CK371" s="1019"/>
      <c r="CL371" s="1019"/>
      <c r="CM371" s="1019"/>
      <c r="CN371" s="1019"/>
      <c r="CQ371" s="1019"/>
      <c r="CR371" s="1019"/>
      <c r="CS371" s="1019"/>
      <c r="CT371" s="1019"/>
      <c r="CW371" s="1019"/>
      <c r="CX371" s="1019"/>
      <c r="CY371" s="1019"/>
      <c r="CZ371" s="1019"/>
      <c r="DC371" s="1019"/>
      <c r="DD371" s="1019"/>
      <c r="DE371" s="1019"/>
      <c r="DF371" s="1019"/>
      <c r="DI371" s="1019"/>
      <c r="DJ371" s="1019"/>
      <c r="DK371" s="1019"/>
      <c r="DL371" s="1019"/>
      <c r="DO371" s="1019"/>
      <c r="DP371" s="1019"/>
      <c r="DQ371" s="1019"/>
      <c r="DR371" s="1019"/>
      <c r="DW371" s="1019"/>
      <c r="DX371" s="1019"/>
      <c r="DY371" s="1019"/>
      <c r="DZ371" s="1019"/>
      <c r="EE371" s="1019"/>
      <c r="EF371" s="1019"/>
      <c r="EG371" s="1019"/>
      <c r="EH371" s="1019"/>
      <c r="EK371" s="1019"/>
      <c r="EL371" s="1019"/>
      <c r="EM371" s="1019"/>
      <c r="EN371" s="1019"/>
      <c r="EQ371" s="1019"/>
      <c r="ER371" s="1019"/>
      <c r="ES371" s="1019"/>
      <c r="ET371" s="1019"/>
      <c r="EW371" s="1019"/>
      <c r="EX371" s="1019"/>
      <c r="EY371" s="1019"/>
      <c r="EZ371" s="1019"/>
      <c r="FF371" s="758"/>
      <c r="FG371" s="1019"/>
      <c r="FH371" s="1019"/>
      <c r="FI371" s="1019"/>
      <c r="FJ371" s="1019"/>
      <c r="FL371" s="758"/>
      <c r="FM371" s="1019"/>
      <c r="FN371" s="1019"/>
      <c r="FO371" s="1019"/>
      <c r="FP371" s="1019"/>
      <c r="FR371" s="758"/>
      <c r="FS371" s="1019"/>
      <c r="FT371" s="1019"/>
      <c r="FU371" s="1019"/>
      <c r="FV371" s="1019"/>
      <c r="FX371" s="758"/>
      <c r="FZ371" s="758"/>
      <c r="GB371" s="758"/>
      <c r="GD371" s="758"/>
      <c r="GF371" s="758"/>
      <c r="GH371" s="758"/>
    </row>
    <row r="372" spans="5:190" ht="15" customHeight="1">
      <c r="E372" s="1098" t="s">
        <v>56</v>
      </c>
      <c r="F372" s="1103"/>
      <c r="G372" s="1103"/>
      <c r="H372" s="1104"/>
      <c r="I372" s="1057" t="s">
        <v>231</v>
      </c>
      <c r="J372" s="1058"/>
      <c r="K372" s="1058"/>
      <c r="L372" s="1058"/>
      <c r="M372" s="1058"/>
      <c r="N372" s="1058"/>
      <c r="O372" s="1058"/>
      <c r="P372" s="1058"/>
      <c r="Q372" s="1059"/>
      <c r="R372" s="1021"/>
      <c r="S372" s="1021"/>
      <c r="T372" s="1021"/>
      <c r="U372" s="1021"/>
      <c r="X372" s="1021"/>
      <c r="Y372" s="1021"/>
      <c r="Z372" s="1021"/>
      <c r="AA372" s="1021"/>
      <c r="AD372" s="1021"/>
      <c r="AE372" s="1021"/>
      <c r="AF372" s="1021"/>
      <c r="AG372" s="1021"/>
      <c r="AL372" s="1021"/>
      <c r="AM372" s="1021"/>
      <c r="AN372" s="1021"/>
      <c r="AO372" s="1021"/>
      <c r="AR372" s="1021"/>
      <c r="AS372" s="1021"/>
      <c r="AT372" s="1021"/>
      <c r="AU372" s="1021"/>
      <c r="AX372" s="1021"/>
      <c r="AY372" s="1021"/>
      <c r="AZ372" s="1021"/>
      <c r="BA372" s="1021"/>
      <c r="BD372" s="1021"/>
      <c r="BE372" s="1021"/>
      <c r="BF372" s="1021"/>
      <c r="BG372" s="1021"/>
      <c r="BJ372" s="1021"/>
      <c r="BK372" s="1021"/>
      <c r="BL372" s="1021"/>
      <c r="BM372" s="1021"/>
      <c r="BR372" s="1021"/>
      <c r="BS372" s="1021"/>
      <c r="BT372" s="1021"/>
      <c r="BU372" s="1021"/>
      <c r="CE372" s="1021"/>
      <c r="CF372" s="1021"/>
      <c r="CG372" s="1021"/>
      <c r="CH372" s="1021"/>
      <c r="CJ372" s="758"/>
      <c r="CK372" s="1021"/>
      <c r="CL372" s="1021"/>
      <c r="CM372" s="1021"/>
      <c r="CN372" s="1021"/>
      <c r="CQ372" s="1021"/>
      <c r="CR372" s="1021"/>
      <c r="CS372" s="1021"/>
      <c r="CT372" s="1021"/>
      <c r="CW372" s="1021"/>
      <c r="CX372" s="1021"/>
      <c r="CY372" s="1021"/>
      <c r="CZ372" s="1021"/>
      <c r="DC372" s="1021"/>
      <c r="DD372" s="1021"/>
      <c r="DE372" s="1021"/>
      <c r="DF372" s="1021"/>
      <c r="DI372" s="1021"/>
      <c r="DJ372" s="1021"/>
      <c r="DK372" s="1021"/>
      <c r="DL372" s="1021"/>
      <c r="DO372" s="1021"/>
      <c r="DP372" s="1021"/>
      <c r="DQ372" s="1021"/>
      <c r="DR372" s="1021"/>
      <c r="DW372" s="1021"/>
      <c r="DX372" s="1021"/>
      <c r="DY372" s="1021"/>
      <c r="DZ372" s="1021"/>
      <c r="EE372" s="1021"/>
      <c r="EF372" s="1021"/>
      <c r="EG372" s="1021"/>
      <c r="EH372" s="1021"/>
      <c r="EK372" s="1021"/>
      <c r="EL372" s="1021"/>
      <c r="EM372" s="1021"/>
      <c r="EN372" s="1021"/>
      <c r="EQ372" s="1021"/>
      <c r="ER372" s="1021"/>
      <c r="ES372" s="1021"/>
      <c r="ET372" s="1021"/>
      <c r="EW372" s="1021"/>
      <c r="EX372" s="1021"/>
      <c r="EY372" s="1021"/>
      <c r="EZ372" s="1021"/>
      <c r="FF372" s="758"/>
      <c r="FG372" s="1021"/>
      <c r="FH372" s="1021"/>
      <c r="FI372" s="1021"/>
      <c r="FJ372" s="1021"/>
      <c r="FL372" s="758"/>
      <c r="FM372" s="1021"/>
      <c r="FN372" s="1021"/>
      <c r="FO372" s="1021"/>
      <c r="FP372" s="1021"/>
      <c r="FR372" s="758"/>
      <c r="FS372" s="1021"/>
      <c r="FT372" s="1021"/>
      <c r="FU372" s="1021"/>
      <c r="FV372" s="1021"/>
      <c r="FX372" s="758"/>
      <c r="FZ372" s="758"/>
      <c r="GB372" s="758"/>
      <c r="GD372" s="758"/>
      <c r="GF372" s="758"/>
      <c r="GH372" s="758"/>
    </row>
    <row r="373" spans="5:190" ht="12" thickBot="1">
      <c r="E373" s="1123" t="s">
        <v>1760</v>
      </c>
      <c r="F373" s="1124"/>
      <c r="G373" s="1124"/>
      <c r="H373" s="1125"/>
      <c r="I373" s="1111" t="s">
        <v>231</v>
      </c>
      <c r="J373" s="1112"/>
      <c r="K373" s="1112"/>
      <c r="L373" s="1112"/>
      <c r="M373" s="1112"/>
      <c r="N373" s="1112"/>
      <c r="O373" s="1112"/>
      <c r="P373" s="1112"/>
      <c r="Q373" s="1113"/>
      <c r="R373" s="1019"/>
      <c r="S373" s="1019"/>
      <c r="T373" s="1019"/>
      <c r="U373" s="1019"/>
      <c r="X373" s="1019"/>
      <c r="Y373" s="1019"/>
      <c r="Z373" s="1019"/>
      <c r="AA373" s="1019"/>
      <c r="AD373" s="1019"/>
      <c r="AE373" s="1019"/>
      <c r="AF373" s="1019"/>
      <c r="AG373" s="1019"/>
      <c r="AL373" s="1019"/>
      <c r="AM373" s="1019"/>
      <c r="AN373" s="1019"/>
      <c r="AO373" s="1019"/>
      <c r="AR373" s="1019"/>
      <c r="AS373" s="1019"/>
      <c r="AT373" s="1019"/>
      <c r="AU373" s="1019"/>
      <c r="AX373" s="1019"/>
      <c r="AY373" s="1019"/>
      <c r="AZ373" s="1019"/>
      <c r="BA373" s="1019"/>
      <c r="BD373" s="1019"/>
      <c r="BE373" s="1019"/>
      <c r="BF373" s="1019"/>
      <c r="BG373" s="1019"/>
      <c r="BJ373" s="1019"/>
      <c r="BK373" s="1019"/>
      <c r="BL373" s="1019"/>
      <c r="BM373" s="1019"/>
      <c r="BR373" s="1019"/>
      <c r="BS373" s="1019"/>
      <c r="BT373" s="1019"/>
      <c r="BU373" s="1019"/>
      <c r="CE373" s="1019"/>
      <c r="CF373" s="1019"/>
      <c r="CG373" s="1019"/>
      <c r="CH373" s="1019"/>
      <c r="CJ373" s="758"/>
      <c r="CK373" s="1019"/>
      <c r="CL373" s="1019"/>
      <c r="CM373" s="1019"/>
      <c r="CN373" s="1019"/>
      <c r="CQ373" s="1019"/>
      <c r="CR373" s="1019"/>
      <c r="CS373" s="1019"/>
      <c r="CT373" s="1019"/>
      <c r="CW373" s="1019"/>
      <c r="CX373" s="1019"/>
      <c r="CY373" s="1019"/>
      <c r="CZ373" s="1019"/>
      <c r="DC373" s="1019"/>
      <c r="DD373" s="1019"/>
      <c r="DE373" s="1019"/>
      <c r="DF373" s="1019"/>
      <c r="DI373" s="1019"/>
      <c r="DJ373" s="1019"/>
      <c r="DK373" s="1019"/>
      <c r="DL373" s="1019"/>
      <c r="DO373" s="1019"/>
      <c r="DP373" s="1019"/>
      <c r="DQ373" s="1019"/>
      <c r="DR373" s="1019"/>
      <c r="DW373" s="1019"/>
      <c r="DX373" s="1019"/>
      <c r="DY373" s="1019"/>
      <c r="DZ373" s="1019"/>
      <c r="EE373" s="1019"/>
      <c r="EF373" s="1019"/>
      <c r="EG373" s="1019"/>
      <c r="EH373" s="1019"/>
      <c r="EK373" s="1019"/>
      <c r="EL373" s="1019"/>
      <c r="EM373" s="1019"/>
      <c r="EN373" s="1019"/>
      <c r="EQ373" s="1019"/>
      <c r="ER373" s="1019"/>
      <c r="ES373" s="1019"/>
      <c r="ET373" s="1019"/>
      <c r="EW373" s="1019"/>
      <c r="EX373" s="1019"/>
      <c r="EY373" s="1019"/>
      <c r="EZ373" s="1019"/>
      <c r="FF373" s="758"/>
      <c r="FG373" s="1019"/>
      <c r="FH373" s="1019"/>
      <c r="FI373" s="1019"/>
      <c r="FJ373" s="1019"/>
      <c r="FL373" s="758"/>
      <c r="FM373" s="1019"/>
      <c r="FN373" s="1019"/>
      <c r="FO373" s="1019"/>
      <c r="FP373" s="1019"/>
      <c r="FR373" s="758"/>
      <c r="FS373" s="1019"/>
      <c r="FT373" s="1019"/>
      <c r="FU373" s="1019"/>
      <c r="FV373" s="1019"/>
      <c r="FX373" s="758"/>
      <c r="FZ373" s="758"/>
      <c r="GB373" s="758"/>
      <c r="GD373" s="758"/>
      <c r="GF373" s="758"/>
      <c r="GH373" s="758"/>
    </row>
    <row r="374" spans="5:190" ht="102.75" customHeight="1" thickBot="1">
      <c r="E374" s="1073" t="s">
        <v>57</v>
      </c>
      <c r="F374" s="1074"/>
      <c r="G374" s="1074"/>
      <c r="H374" s="1075"/>
      <c r="I374" s="1114" t="s">
        <v>1761</v>
      </c>
      <c r="J374" s="1115"/>
      <c r="K374" s="1115"/>
      <c r="L374" s="1115"/>
      <c r="M374" s="1115"/>
      <c r="N374" s="1115"/>
      <c r="O374" s="1115"/>
      <c r="P374" s="1115"/>
      <c r="Q374" s="1116"/>
      <c r="R374" s="803"/>
      <c r="S374" s="803"/>
      <c r="T374" s="803"/>
      <c r="U374" s="803"/>
      <c r="X374" s="803"/>
      <c r="Y374" s="803"/>
      <c r="Z374" s="803"/>
      <c r="AA374" s="803"/>
      <c r="AD374" s="803"/>
      <c r="AE374" s="803"/>
      <c r="AF374" s="803"/>
      <c r="AG374" s="803"/>
      <c r="AL374" s="803"/>
      <c r="AM374" s="803"/>
      <c r="AN374" s="803"/>
      <c r="AO374" s="803"/>
      <c r="AR374" s="803"/>
      <c r="AS374" s="803"/>
      <c r="AT374" s="803"/>
      <c r="AU374" s="803"/>
      <c r="AX374" s="803"/>
      <c r="AY374" s="803"/>
      <c r="AZ374" s="803"/>
      <c r="BA374" s="803"/>
      <c r="BD374" s="803"/>
      <c r="BE374" s="803"/>
      <c r="BF374" s="803"/>
      <c r="BG374" s="803"/>
      <c r="BJ374" s="803"/>
      <c r="BK374" s="803"/>
      <c r="BL374" s="803"/>
      <c r="BM374" s="803"/>
      <c r="BR374" s="803"/>
      <c r="BS374" s="803"/>
      <c r="BT374" s="803"/>
      <c r="BU374" s="803"/>
      <c r="CE374" s="803"/>
      <c r="CF374" s="803"/>
      <c r="CG374" s="803"/>
      <c r="CH374" s="803"/>
      <c r="CJ374" s="758"/>
      <c r="CK374" s="803"/>
      <c r="CL374" s="803"/>
      <c r="CM374" s="803"/>
      <c r="CN374" s="803"/>
      <c r="CQ374" s="803"/>
      <c r="CR374" s="803"/>
      <c r="CS374" s="803"/>
      <c r="CT374" s="803"/>
      <c r="CW374" s="803"/>
      <c r="CX374" s="803"/>
      <c r="CY374" s="803"/>
      <c r="CZ374" s="803"/>
      <c r="DC374" s="803"/>
      <c r="DD374" s="803"/>
      <c r="DE374" s="803"/>
      <c r="DF374" s="803"/>
      <c r="DI374" s="803"/>
      <c r="DJ374" s="803"/>
      <c r="DK374" s="803"/>
      <c r="DL374" s="803"/>
      <c r="DO374" s="803"/>
      <c r="DP374" s="803"/>
      <c r="DQ374" s="803"/>
      <c r="DR374" s="803"/>
      <c r="DW374" s="803"/>
      <c r="DX374" s="803"/>
      <c r="DY374" s="803"/>
      <c r="DZ374" s="803"/>
      <c r="EE374" s="803"/>
      <c r="EF374" s="803"/>
      <c r="EG374" s="803"/>
      <c r="EH374" s="803"/>
      <c r="EK374" s="803"/>
      <c r="EL374" s="803"/>
      <c r="EM374" s="803"/>
      <c r="EN374" s="803"/>
      <c r="EQ374" s="803"/>
      <c r="ER374" s="803"/>
      <c r="ES374" s="803"/>
      <c r="ET374" s="803"/>
      <c r="EW374" s="803"/>
      <c r="EX374" s="803"/>
      <c r="EY374" s="803"/>
      <c r="EZ374" s="803"/>
      <c r="FF374" s="758"/>
      <c r="FG374" s="803"/>
      <c r="FH374" s="803"/>
      <c r="FI374" s="803"/>
      <c r="FJ374" s="803"/>
      <c r="FL374" s="758"/>
      <c r="FM374" s="803"/>
      <c r="FN374" s="803"/>
      <c r="FO374" s="803"/>
      <c r="FP374" s="803"/>
      <c r="FR374" s="758"/>
      <c r="FS374" s="803"/>
      <c r="FT374" s="803"/>
      <c r="FU374" s="803"/>
      <c r="FV374" s="803"/>
      <c r="FX374" s="758"/>
      <c r="FZ374" s="758"/>
      <c r="GB374" s="758"/>
      <c r="GD374" s="758"/>
      <c r="GF374" s="758"/>
      <c r="GH374" s="758"/>
    </row>
    <row r="375" spans="5:190" ht="127.5" customHeight="1" thickBot="1">
      <c r="E375" s="1073" t="s">
        <v>700</v>
      </c>
      <c r="F375" s="1074"/>
      <c r="G375" s="1074"/>
      <c r="H375" s="1075"/>
      <c r="I375" s="1114" t="s">
        <v>1762</v>
      </c>
      <c r="J375" s="1115"/>
      <c r="K375" s="1115"/>
      <c r="L375" s="1115"/>
      <c r="M375" s="1115"/>
      <c r="N375" s="1115"/>
      <c r="O375" s="1115"/>
      <c r="P375" s="1115"/>
      <c r="Q375" s="1116"/>
      <c r="R375" s="803"/>
      <c r="S375" s="803"/>
      <c r="T375" s="803"/>
      <c r="U375" s="803"/>
      <c r="X375" s="803"/>
      <c r="Y375" s="803"/>
      <c r="Z375" s="803"/>
      <c r="AA375" s="803"/>
      <c r="AD375" s="803"/>
      <c r="AE375" s="803"/>
      <c r="AF375" s="803"/>
      <c r="AG375" s="803"/>
      <c r="AL375" s="803"/>
      <c r="AM375" s="803"/>
      <c r="AN375" s="803"/>
      <c r="AO375" s="803"/>
      <c r="AR375" s="803"/>
      <c r="AS375" s="803"/>
      <c r="AT375" s="803"/>
      <c r="AU375" s="803"/>
      <c r="AX375" s="803"/>
      <c r="AY375" s="803"/>
      <c r="AZ375" s="803"/>
      <c r="BA375" s="803"/>
      <c r="BD375" s="803"/>
      <c r="BE375" s="803"/>
      <c r="BF375" s="803"/>
      <c r="BG375" s="803"/>
      <c r="BJ375" s="803"/>
      <c r="BK375" s="803"/>
      <c r="BL375" s="803"/>
      <c r="BM375" s="803"/>
      <c r="BR375" s="803"/>
      <c r="BS375" s="803"/>
      <c r="BT375" s="803"/>
      <c r="BU375" s="803"/>
      <c r="CE375" s="803"/>
      <c r="CF375" s="803"/>
      <c r="CG375" s="803"/>
      <c r="CH375" s="803"/>
      <c r="CJ375" s="758"/>
      <c r="CK375" s="803"/>
      <c r="CL375" s="803"/>
      <c r="CM375" s="803"/>
      <c r="CN375" s="803"/>
      <c r="CQ375" s="803"/>
      <c r="CR375" s="803"/>
      <c r="CS375" s="803"/>
      <c r="CT375" s="803"/>
      <c r="CW375" s="803"/>
      <c r="CX375" s="803"/>
      <c r="CY375" s="803"/>
      <c r="CZ375" s="803"/>
      <c r="DC375" s="803"/>
      <c r="DD375" s="803"/>
      <c r="DE375" s="803"/>
      <c r="DF375" s="803"/>
      <c r="DI375" s="803"/>
      <c r="DJ375" s="803"/>
      <c r="DK375" s="803"/>
      <c r="DL375" s="803"/>
      <c r="DO375" s="803"/>
      <c r="DP375" s="803"/>
      <c r="DQ375" s="803"/>
      <c r="DR375" s="803"/>
      <c r="DW375" s="803"/>
      <c r="DX375" s="803"/>
      <c r="DY375" s="803"/>
      <c r="DZ375" s="803"/>
      <c r="EE375" s="803"/>
      <c r="EF375" s="803"/>
      <c r="EG375" s="803"/>
      <c r="EH375" s="803"/>
      <c r="EK375" s="803"/>
      <c r="EL375" s="803"/>
      <c r="EM375" s="803"/>
      <c r="EN375" s="803"/>
      <c r="EQ375" s="803"/>
      <c r="ER375" s="803"/>
      <c r="ES375" s="803"/>
      <c r="ET375" s="803"/>
      <c r="EW375" s="803"/>
      <c r="EX375" s="803"/>
      <c r="EY375" s="803"/>
      <c r="EZ375" s="803"/>
      <c r="FF375" s="758"/>
      <c r="FG375" s="803"/>
      <c r="FH375" s="803"/>
      <c r="FI375" s="803"/>
      <c r="FJ375" s="803"/>
      <c r="FL375" s="758"/>
      <c r="FM375" s="803"/>
      <c r="FN375" s="803"/>
      <c r="FO375" s="803"/>
      <c r="FP375" s="803"/>
      <c r="FR375" s="758"/>
      <c r="FS375" s="803"/>
      <c r="FT375" s="803"/>
      <c r="FU375" s="803"/>
      <c r="FV375" s="803"/>
      <c r="FX375" s="758"/>
      <c r="FZ375" s="758"/>
      <c r="GB375" s="758"/>
      <c r="GD375" s="758"/>
      <c r="GF375" s="758"/>
      <c r="GH375" s="758"/>
    </row>
    <row r="376" spans="5:190" ht="297.75" customHeight="1">
      <c r="E376" s="1121" t="s">
        <v>945</v>
      </c>
      <c r="F376" s="1122"/>
      <c r="G376" s="1122"/>
      <c r="H376" s="1122"/>
      <c r="I376" s="1117" t="s">
        <v>1763</v>
      </c>
      <c r="J376" s="1117"/>
      <c r="K376" s="1117"/>
      <c r="L376" s="1117"/>
      <c r="M376" s="1117"/>
      <c r="N376" s="1117"/>
      <c r="O376" s="1117"/>
      <c r="P376" s="1117"/>
      <c r="Q376" s="1117"/>
      <c r="R376" s="803"/>
      <c r="S376" s="803"/>
      <c r="T376" s="803"/>
      <c r="U376" s="803"/>
      <c r="X376" s="803"/>
      <c r="Y376" s="803"/>
      <c r="Z376" s="803"/>
      <c r="AA376" s="803"/>
      <c r="AD376" s="803"/>
      <c r="AE376" s="803"/>
      <c r="AF376" s="803"/>
      <c r="AG376" s="803"/>
      <c r="AL376" s="803"/>
      <c r="AM376" s="803"/>
      <c r="AN376" s="803"/>
      <c r="AO376" s="803"/>
      <c r="AR376" s="803"/>
      <c r="AS376" s="803"/>
      <c r="AT376" s="803"/>
      <c r="AU376" s="803"/>
      <c r="AX376" s="803"/>
      <c r="AY376" s="803"/>
      <c r="AZ376" s="803"/>
      <c r="BA376" s="803"/>
      <c r="BD376" s="803"/>
      <c r="BE376" s="803"/>
      <c r="BF376" s="803"/>
      <c r="BG376" s="803"/>
      <c r="BJ376" s="803"/>
      <c r="BK376" s="803"/>
      <c r="BL376" s="803"/>
      <c r="BM376" s="803"/>
      <c r="BR376" s="803"/>
      <c r="BS376" s="803"/>
      <c r="BT376" s="803"/>
      <c r="BU376" s="803"/>
      <c r="CE376" s="803"/>
      <c r="CF376" s="803"/>
      <c r="CG376" s="803"/>
      <c r="CH376" s="803"/>
      <c r="CJ376" s="758"/>
      <c r="CK376" s="803"/>
      <c r="CL376" s="803"/>
      <c r="CM376" s="803"/>
      <c r="CN376" s="803"/>
      <c r="CQ376" s="803"/>
      <c r="CR376" s="803"/>
      <c r="CS376" s="803"/>
      <c r="CT376" s="803"/>
      <c r="CW376" s="803"/>
      <c r="CX376" s="803"/>
      <c r="CY376" s="803"/>
      <c r="CZ376" s="803"/>
      <c r="DC376" s="803"/>
      <c r="DD376" s="803"/>
      <c r="DE376" s="803"/>
      <c r="DF376" s="803"/>
      <c r="DI376" s="803"/>
      <c r="DJ376" s="803"/>
      <c r="DK376" s="803"/>
      <c r="DL376" s="803"/>
      <c r="DO376" s="803"/>
      <c r="DP376" s="803"/>
      <c r="DQ376" s="803"/>
      <c r="DR376" s="803"/>
      <c r="DW376" s="803"/>
      <c r="DX376" s="803"/>
      <c r="DY376" s="803"/>
      <c r="DZ376" s="803"/>
      <c r="EE376" s="803"/>
      <c r="EF376" s="803"/>
      <c r="EG376" s="803"/>
      <c r="EH376" s="803"/>
      <c r="EK376" s="803"/>
      <c r="EL376" s="803"/>
      <c r="EM376" s="803"/>
      <c r="EN376" s="803"/>
      <c r="EQ376" s="803"/>
      <c r="ER376" s="803"/>
      <c r="ES376" s="803"/>
      <c r="ET376" s="803"/>
      <c r="EW376" s="803"/>
      <c r="EX376" s="803"/>
      <c r="EY376" s="803"/>
      <c r="EZ376" s="803"/>
      <c r="FF376" s="758"/>
      <c r="FG376" s="803"/>
      <c r="FH376" s="803"/>
      <c r="FI376" s="803"/>
      <c r="FJ376" s="803"/>
      <c r="FL376" s="758"/>
      <c r="FM376" s="803"/>
      <c r="FN376" s="803"/>
      <c r="FO376" s="803"/>
      <c r="FP376" s="803"/>
      <c r="FR376" s="758"/>
      <c r="FS376" s="803"/>
      <c r="FT376" s="803"/>
      <c r="FU376" s="803"/>
      <c r="FV376" s="803"/>
      <c r="FX376" s="758"/>
      <c r="FZ376" s="758"/>
      <c r="GB376" s="758"/>
      <c r="GD376" s="758"/>
      <c r="GF376" s="758"/>
      <c r="GH376" s="758"/>
    </row>
    <row r="377" spans="5:190" ht="12.75" customHeight="1">
      <c r="E377" s="1078" t="s">
        <v>701</v>
      </c>
      <c r="F377" s="1079"/>
      <c r="G377" s="1079"/>
      <c r="H377" s="1080"/>
      <c r="I377" s="1118" t="s">
        <v>231</v>
      </c>
      <c r="J377" s="1119"/>
      <c r="K377" s="1119"/>
      <c r="L377" s="1119"/>
      <c r="M377" s="1119"/>
      <c r="N377" s="1119"/>
      <c r="O377" s="1119"/>
      <c r="P377" s="1119"/>
      <c r="Q377" s="1120"/>
      <c r="R377" s="1013"/>
      <c r="S377" s="1013"/>
      <c r="T377" s="1013"/>
      <c r="U377" s="1013"/>
      <c r="X377" s="1013"/>
      <c r="Y377" s="1013"/>
      <c r="Z377" s="1013"/>
      <c r="AA377" s="1013"/>
      <c r="AD377" s="1013"/>
      <c r="AE377" s="1013"/>
      <c r="AF377" s="1013"/>
      <c r="AG377" s="1013"/>
      <c r="AL377" s="1013"/>
      <c r="AM377" s="1013"/>
      <c r="AN377" s="1013"/>
      <c r="AO377" s="1013"/>
      <c r="AR377" s="1013"/>
      <c r="AS377" s="1013"/>
      <c r="AT377" s="1013"/>
      <c r="AU377" s="1013"/>
      <c r="AX377" s="1013"/>
      <c r="AY377" s="1013"/>
      <c r="AZ377" s="1013"/>
      <c r="BA377" s="1013"/>
      <c r="BD377" s="1013"/>
      <c r="BE377" s="1013"/>
      <c r="BF377" s="1013"/>
      <c r="BG377" s="1013"/>
      <c r="BJ377" s="1013"/>
      <c r="BK377" s="1013"/>
      <c r="BL377" s="1013"/>
      <c r="BM377" s="1013"/>
      <c r="BR377" s="1013"/>
      <c r="BS377" s="1013"/>
      <c r="BT377" s="1013"/>
      <c r="BU377" s="1013"/>
      <c r="CE377" s="1013"/>
      <c r="CF377" s="1013"/>
      <c r="CG377" s="1013"/>
      <c r="CH377" s="1013"/>
      <c r="CJ377" s="758"/>
      <c r="CK377" s="1013"/>
      <c r="CL377" s="1013"/>
      <c r="CM377" s="1013"/>
      <c r="CN377" s="1013"/>
      <c r="CQ377" s="1013"/>
      <c r="CR377" s="1013"/>
      <c r="CS377" s="1013"/>
      <c r="CT377" s="1013"/>
      <c r="CW377" s="1013"/>
      <c r="CX377" s="1013"/>
      <c r="CY377" s="1013"/>
      <c r="CZ377" s="1013"/>
      <c r="DC377" s="1013"/>
      <c r="DD377" s="1013"/>
      <c r="DE377" s="1013"/>
      <c r="DF377" s="1013"/>
      <c r="DI377" s="1013"/>
      <c r="DJ377" s="1013"/>
      <c r="DK377" s="1013"/>
      <c r="DL377" s="1013"/>
      <c r="DO377" s="1013"/>
      <c r="DP377" s="1013"/>
      <c r="DQ377" s="1013"/>
      <c r="DR377" s="1013"/>
      <c r="DW377" s="1013"/>
      <c r="DX377" s="1013"/>
      <c r="DY377" s="1013"/>
      <c r="DZ377" s="1013"/>
      <c r="EE377" s="1013"/>
      <c r="EF377" s="1013"/>
      <c r="EG377" s="1013"/>
      <c r="EH377" s="1013"/>
      <c r="EK377" s="1013"/>
      <c r="EL377" s="1013"/>
      <c r="EM377" s="1013"/>
      <c r="EN377" s="1013"/>
      <c r="EQ377" s="1013"/>
      <c r="ER377" s="1013"/>
      <c r="ES377" s="1013"/>
      <c r="ET377" s="1013"/>
      <c r="EW377" s="1013"/>
      <c r="EX377" s="1013"/>
      <c r="EY377" s="1013"/>
      <c r="EZ377" s="1013"/>
      <c r="FF377" s="758"/>
      <c r="FG377" s="1013"/>
      <c r="FH377" s="1013"/>
      <c r="FI377" s="1013"/>
      <c r="FJ377" s="1013"/>
      <c r="FL377" s="758"/>
      <c r="FM377" s="1013"/>
      <c r="FN377" s="1013"/>
      <c r="FO377" s="1013"/>
      <c r="FP377" s="1013"/>
      <c r="FR377" s="758"/>
      <c r="FS377" s="1013"/>
      <c r="FT377" s="1013"/>
      <c r="FU377" s="1013"/>
      <c r="FV377" s="1013"/>
      <c r="FX377" s="758"/>
      <c r="FZ377" s="758"/>
      <c r="GB377" s="758"/>
      <c r="GD377" s="758"/>
      <c r="GF377" s="758"/>
      <c r="GH377" s="758"/>
    </row>
    <row r="378" spans="5:190" ht="45.75" customHeight="1">
      <c r="E378" s="1039" t="s">
        <v>702</v>
      </c>
      <c r="F378" s="1040"/>
      <c r="G378" s="1040"/>
      <c r="H378" s="1040"/>
      <c r="I378" s="1064" t="s">
        <v>231</v>
      </c>
      <c r="J378" s="1064"/>
      <c r="K378" s="1064"/>
      <c r="L378" s="1064"/>
      <c r="M378" s="1064"/>
      <c r="N378" s="1064"/>
      <c r="O378" s="1064"/>
      <c r="P378" s="1064"/>
      <c r="Q378" s="1064"/>
      <c r="R378" s="803"/>
      <c r="S378" s="803"/>
      <c r="T378" s="803"/>
      <c r="U378" s="803"/>
      <c r="X378" s="803"/>
      <c r="Y378" s="803"/>
      <c r="Z378" s="803"/>
      <c r="AA378" s="803"/>
      <c r="AD378" s="803"/>
      <c r="AE378" s="803"/>
      <c r="AF378" s="803"/>
      <c r="AG378" s="803"/>
      <c r="AL378" s="803"/>
      <c r="AM378" s="803"/>
      <c r="AN378" s="803"/>
      <c r="AO378" s="803"/>
      <c r="AR378" s="803"/>
      <c r="AS378" s="803"/>
      <c r="AT378" s="803"/>
      <c r="AU378" s="803"/>
      <c r="AX378" s="803"/>
      <c r="AY378" s="803"/>
      <c r="AZ378" s="803"/>
      <c r="BA378" s="803"/>
      <c r="BD378" s="803"/>
      <c r="BE378" s="803"/>
      <c r="BF378" s="803"/>
      <c r="BG378" s="803"/>
      <c r="BJ378" s="803"/>
      <c r="BK378" s="803"/>
      <c r="BL378" s="803"/>
      <c r="BM378" s="803"/>
      <c r="BR378" s="803"/>
      <c r="BS378" s="803"/>
      <c r="BT378" s="803"/>
      <c r="BU378" s="803"/>
      <c r="CE378" s="803"/>
      <c r="CF378" s="803"/>
      <c r="CG378" s="803"/>
      <c r="CH378" s="803"/>
      <c r="CJ378" s="758"/>
      <c r="CK378" s="803"/>
      <c r="CL378" s="803"/>
      <c r="CM378" s="803"/>
      <c r="CN378" s="803"/>
      <c r="CQ378" s="803"/>
      <c r="CR378" s="803"/>
      <c r="CS378" s="803"/>
      <c r="CT378" s="803"/>
      <c r="CW378" s="803"/>
      <c r="CX378" s="803"/>
      <c r="CY378" s="803"/>
      <c r="CZ378" s="803"/>
      <c r="DC378" s="803"/>
      <c r="DD378" s="803"/>
      <c r="DE378" s="803"/>
      <c r="DF378" s="803"/>
      <c r="DI378" s="803"/>
      <c r="DJ378" s="803"/>
      <c r="DK378" s="803"/>
      <c r="DL378" s="803"/>
      <c r="DO378" s="803"/>
      <c r="DP378" s="803"/>
      <c r="DQ378" s="803"/>
      <c r="DR378" s="803"/>
      <c r="DW378" s="803"/>
      <c r="DX378" s="803"/>
      <c r="DY378" s="803"/>
      <c r="DZ378" s="803"/>
      <c r="EE378" s="803"/>
      <c r="EF378" s="803"/>
      <c r="EG378" s="803"/>
      <c r="EH378" s="803"/>
      <c r="EK378" s="803"/>
      <c r="EL378" s="803"/>
      <c r="EM378" s="803"/>
      <c r="EN378" s="803"/>
      <c r="EQ378" s="803"/>
      <c r="ER378" s="803"/>
      <c r="ES378" s="803"/>
      <c r="ET378" s="803"/>
      <c r="EW378" s="803"/>
      <c r="EX378" s="803"/>
      <c r="EY378" s="803"/>
      <c r="EZ378" s="803"/>
      <c r="FF378" s="758"/>
      <c r="FG378" s="803"/>
      <c r="FH378" s="803"/>
      <c r="FI378" s="803"/>
      <c r="FJ378" s="803"/>
      <c r="FL378" s="758"/>
      <c r="FM378" s="803"/>
      <c r="FN378" s="803"/>
      <c r="FO378" s="803"/>
      <c r="FP378" s="803"/>
      <c r="FR378" s="758"/>
      <c r="FS378" s="803"/>
      <c r="FT378" s="803"/>
      <c r="FU378" s="803"/>
      <c r="FV378" s="803"/>
      <c r="FX378" s="758"/>
      <c r="FZ378" s="758"/>
      <c r="GB378" s="758"/>
      <c r="GD378" s="758"/>
      <c r="GF378" s="758"/>
      <c r="GH378" s="758"/>
    </row>
    <row r="379" spans="5:190" ht="90.75" customHeight="1">
      <c r="E379" s="1039" t="s">
        <v>1364</v>
      </c>
      <c r="F379" s="1040"/>
      <c r="G379" s="1040"/>
      <c r="H379" s="1040"/>
      <c r="I379" s="1065" t="s">
        <v>1764</v>
      </c>
      <c r="J379" s="1066"/>
      <c r="K379" s="1066"/>
      <c r="L379" s="1066"/>
      <c r="M379" s="1066"/>
      <c r="N379" s="1066"/>
      <c r="O379" s="1066"/>
      <c r="P379" s="1066"/>
      <c r="Q379" s="1067"/>
      <c r="R379" s="803"/>
      <c r="S379" s="803"/>
      <c r="T379" s="803"/>
      <c r="U379" s="803"/>
      <c r="X379" s="803"/>
      <c r="Y379" s="803"/>
      <c r="Z379" s="803"/>
      <c r="AA379" s="803"/>
      <c r="AD379" s="803"/>
      <c r="AE379" s="803"/>
      <c r="AF379" s="803"/>
      <c r="AG379" s="803"/>
      <c r="AL379" s="803"/>
      <c r="AM379" s="803"/>
      <c r="AN379" s="803"/>
      <c r="AO379" s="803"/>
      <c r="AR379" s="803"/>
      <c r="AS379" s="803"/>
      <c r="AT379" s="803"/>
      <c r="AU379" s="803"/>
      <c r="AX379" s="803"/>
      <c r="AY379" s="803"/>
      <c r="AZ379" s="803"/>
      <c r="BA379" s="803"/>
      <c r="BD379" s="803"/>
      <c r="BE379" s="803"/>
      <c r="BF379" s="803"/>
      <c r="BG379" s="803"/>
      <c r="BJ379" s="803"/>
      <c r="BK379" s="803"/>
      <c r="BL379" s="803"/>
      <c r="BM379" s="803"/>
      <c r="BR379" s="803"/>
      <c r="BS379" s="803"/>
      <c r="BT379" s="803"/>
      <c r="BU379" s="803"/>
      <c r="CE379" s="803"/>
      <c r="CF379" s="803"/>
      <c r="CG379" s="803"/>
      <c r="CH379" s="803"/>
      <c r="CJ379" s="758"/>
      <c r="CK379" s="803"/>
      <c r="CL379" s="803"/>
      <c r="CM379" s="803"/>
      <c r="CN379" s="803"/>
      <c r="CQ379" s="803"/>
      <c r="CR379" s="803"/>
      <c r="CS379" s="803"/>
      <c r="CT379" s="803"/>
      <c r="CW379" s="803"/>
      <c r="CX379" s="803"/>
      <c r="CY379" s="803"/>
      <c r="CZ379" s="803"/>
      <c r="DC379" s="803"/>
      <c r="DD379" s="803"/>
      <c r="DE379" s="803"/>
      <c r="DF379" s="803"/>
      <c r="DI379" s="803"/>
      <c r="DJ379" s="803"/>
      <c r="DK379" s="803"/>
      <c r="DL379" s="803"/>
      <c r="DO379" s="803"/>
      <c r="DP379" s="803"/>
      <c r="DQ379" s="803"/>
      <c r="DR379" s="803"/>
      <c r="DW379" s="803"/>
      <c r="DX379" s="803"/>
      <c r="DY379" s="803"/>
      <c r="DZ379" s="803"/>
      <c r="EE379" s="803"/>
      <c r="EF379" s="803"/>
      <c r="EG379" s="803"/>
      <c r="EH379" s="803"/>
      <c r="EK379" s="803"/>
      <c r="EL379" s="803"/>
      <c r="EM379" s="803"/>
      <c r="EN379" s="803"/>
      <c r="EQ379" s="803"/>
      <c r="ER379" s="803"/>
      <c r="ES379" s="803"/>
      <c r="ET379" s="803"/>
      <c r="EW379" s="803"/>
      <c r="EX379" s="803"/>
      <c r="EY379" s="803"/>
      <c r="EZ379" s="803"/>
      <c r="FF379" s="758"/>
      <c r="FG379" s="803"/>
      <c r="FH379" s="803"/>
      <c r="FI379" s="803"/>
      <c r="FJ379" s="803"/>
      <c r="FL379" s="758"/>
      <c r="FM379" s="803"/>
      <c r="FN379" s="803"/>
      <c r="FO379" s="803"/>
      <c r="FP379" s="803"/>
      <c r="FR379" s="758"/>
      <c r="FS379" s="803"/>
      <c r="FT379" s="803"/>
      <c r="FU379" s="803"/>
      <c r="FV379" s="803"/>
      <c r="FX379" s="758"/>
      <c r="FZ379" s="758"/>
      <c r="GB379" s="758"/>
      <c r="GD379" s="758"/>
      <c r="GF379" s="758"/>
      <c r="GH379" s="758"/>
    </row>
    <row r="380" spans="5:190" ht="156" customHeight="1">
      <c r="E380" s="1039" t="s">
        <v>1370</v>
      </c>
      <c r="F380" s="1040"/>
      <c r="G380" s="1040"/>
      <c r="H380" s="1040"/>
      <c r="I380" s="1068" t="s">
        <v>1765</v>
      </c>
      <c r="J380" s="1068"/>
      <c r="K380" s="1068"/>
      <c r="L380" s="1068"/>
      <c r="M380" s="1068"/>
      <c r="N380" s="1068"/>
      <c r="O380" s="1068"/>
      <c r="P380" s="1068"/>
      <c r="Q380" s="1068"/>
      <c r="R380" s="803"/>
      <c r="S380" s="803"/>
      <c r="T380" s="803"/>
      <c r="U380" s="803"/>
      <c r="X380" s="803"/>
      <c r="Y380" s="803"/>
      <c r="Z380" s="803"/>
      <c r="AA380" s="803"/>
      <c r="AD380" s="803"/>
      <c r="AE380" s="803"/>
      <c r="AF380" s="803"/>
      <c r="AG380" s="803"/>
      <c r="AL380" s="803"/>
      <c r="AM380" s="803"/>
      <c r="AN380" s="803"/>
      <c r="AO380" s="803"/>
      <c r="AR380" s="803"/>
      <c r="AS380" s="803"/>
      <c r="AT380" s="803"/>
      <c r="AU380" s="803"/>
      <c r="AX380" s="803"/>
      <c r="AY380" s="803"/>
      <c r="AZ380" s="803"/>
      <c r="BA380" s="803"/>
      <c r="BD380" s="803"/>
      <c r="BE380" s="803"/>
      <c r="BF380" s="803"/>
      <c r="BG380" s="803"/>
      <c r="BJ380" s="803"/>
      <c r="BK380" s="803"/>
      <c r="BL380" s="803"/>
      <c r="BM380" s="803"/>
      <c r="BR380" s="803"/>
      <c r="BS380" s="803"/>
      <c r="BT380" s="803"/>
      <c r="BU380" s="803"/>
      <c r="CE380" s="803"/>
      <c r="CF380" s="803"/>
      <c r="CG380" s="803"/>
      <c r="CH380" s="803"/>
      <c r="CJ380" s="758"/>
      <c r="CK380" s="803"/>
      <c r="CL380" s="803"/>
      <c r="CM380" s="803"/>
      <c r="CN380" s="803"/>
      <c r="CQ380" s="803"/>
      <c r="CR380" s="803"/>
      <c r="CS380" s="803"/>
      <c r="CT380" s="803"/>
      <c r="CW380" s="803"/>
      <c r="CX380" s="803"/>
      <c r="CY380" s="803"/>
      <c r="CZ380" s="803"/>
      <c r="DC380" s="803"/>
      <c r="DD380" s="803"/>
      <c r="DE380" s="803"/>
      <c r="DF380" s="803"/>
      <c r="DI380" s="803"/>
      <c r="DJ380" s="803"/>
      <c r="DK380" s="803"/>
      <c r="DL380" s="803"/>
      <c r="DO380" s="803"/>
      <c r="DP380" s="803"/>
      <c r="DQ380" s="803"/>
      <c r="DR380" s="803"/>
      <c r="DW380" s="803"/>
      <c r="DX380" s="803"/>
      <c r="DY380" s="803"/>
      <c r="DZ380" s="803"/>
      <c r="EE380" s="803"/>
      <c r="EF380" s="803"/>
      <c r="EG380" s="803"/>
      <c r="EH380" s="803"/>
      <c r="EK380" s="803"/>
      <c r="EL380" s="803"/>
      <c r="EM380" s="803"/>
      <c r="EN380" s="803"/>
      <c r="EQ380" s="803"/>
      <c r="ER380" s="803"/>
      <c r="ES380" s="803"/>
      <c r="ET380" s="803"/>
      <c r="EW380" s="803"/>
      <c r="EX380" s="803"/>
      <c r="EY380" s="803"/>
      <c r="EZ380" s="803"/>
      <c r="FF380" s="758"/>
      <c r="FG380" s="803"/>
      <c r="FH380" s="803"/>
      <c r="FI380" s="803"/>
      <c r="FJ380" s="803"/>
      <c r="FL380" s="758"/>
      <c r="FM380" s="803"/>
      <c r="FN380" s="803"/>
      <c r="FO380" s="803"/>
      <c r="FP380" s="803"/>
      <c r="FR380" s="758"/>
      <c r="FS380" s="803"/>
      <c r="FT380" s="803"/>
      <c r="FU380" s="803"/>
      <c r="FV380" s="803"/>
      <c r="FX380" s="758"/>
      <c r="FZ380" s="758"/>
      <c r="GB380" s="758"/>
      <c r="GD380" s="758"/>
      <c r="GF380" s="758"/>
      <c r="GH380" s="758"/>
    </row>
    <row r="381" spans="5:190" ht="115.5" customHeight="1">
      <c r="E381" s="1081" t="s">
        <v>1719</v>
      </c>
      <c r="F381" s="1082"/>
      <c r="G381" s="1082"/>
      <c r="H381" s="1082"/>
      <c r="I381" s="1069" t="s">
        <v>1766</v>
      </c>
      <c r="J381" s="1070"/>
      <c r="K381" s="1070"/>
      <c r="L381" s="1070"/>
      <c r="M381" s="1070"/>
      <c r="N381" s="1070"/>
      <c r="O381" s="1070"/>
      <c r="P381" s="1070"/>
      <c r="Q381" s="1071"/>
      <c r="R381" s="1023"/>
      <c r="S381" s="1023"/>
      <c r="T381" s="1023"/>
      <c r="U381" s="1023"/>
      <c r="X381" s="1023"/>
      <c r="Y381" s="1023"/>
      <c r="Z381" s="1023"/>
      <c r="AA381" s="1023"/>
      <c r="AD381" s="1023"/>
      <c r="AE381" s="1023"/>
      <c r="AF381" s="1023"/>
      <c r="AG381" s="1023"/>
      <c r="AL381" s="1023"/>
      <c r="AM381" s="1023"/>
      <c r="AN381" s="1023"/>
      <c r="AO381" s="1023"/>
      <c r="AR381" s="1023"/>
      <c r="AS381" s="1023"/>
      <c r="AT381" s="1023"/>
      <c r="AU381" s="1023"/>
      <c r="AX381" s="1023"/>
      <c r="AY381" s="1023"/>
      <c r="AZ381" s="1023"/>
      <c r="BA381" s="1023"/>
      <c r="BD381" s="1023"/>
      <c r="BE381" s="1023"/>
      <c r="BF381" s="1023"/>
      <c r="BG381" s="1023"/>
      <c r="BJ381" s="1023"/>
      <c r="BK381" s="1023"/>
      <c r="BL381" s="1023"/>
      <c r="BM381" s="1023"/>
      <c r="BR381" s="1023"/>
      <c r="BS381" s="1023"/>
      <c r="BT381" s="1023"/>
      <c r="BU381" s="1023"/>
      <c r="CE381" s="1023"/>
      <c r="CF381" s="1023"/>
      <c r="CG381" s="1023"/>
      <c r="CH381" s="1023"/>
      <c r="CJ381" s="758"/>
      <c r="CK381" s="1023"/>
      <c r="CL381" s="1023"/>
      <c r="CM381" s="1023"/>
      <c r="CN381" s="1023"/>
      <c r="CQ381" s="1023"/>
      <c r="CR381" s="1023"/>
      <c r="CS381" s="1023"/>
      <c r="CT381" s="1023"/>
      <c r="CW381" s="1023"/>
      <c r="CX381" s="1023"/>
      <c r="CY381" s="1023"/>
      <c r="CZ381" s="1023"/>
      <c r="DC381" s="1023"/>
      <c r="DD381" s="1023"/>
      <c r="DE381" s="1023"/>
      <c r="DF381" s="1023"/>
      <c r="DI381" s="1023"/>
      <c r="DJ381" s="1023"/>
      <c r="DK381" s="1023"/>
      <c r="DL381" s="1023"/>
      <c r="DO381" s="1023"/>
      <c r="DP381" s="1023"/>
      <c r="DQ381" s="1023"/>
      <c r="DR381" s="1023"/>
      <c r="DW381" s="1023"/>
      <c r="DX381" s="1023"/>
      <c r="DY381" s="1023"/>
      <c r="DZ381" s="1023"/>
      <c r="EE381" s="1023"/>
      <c r="EF381" s="1023"/>
      <c r="EG381" s="1023"/>
      <c r="EH381" s="1023"/>
      <c r="EK381" s="1023"/>
      <c r="EL381" s="1023"/>
      <c r="EM381" s="1023"/>
      <c r="EN381" s="1023"/>
      <c r="EQ381" s="1023"/>
      <c r="ER381" s="1023"/>
      <c r="ES381" s="1023"/>
      <c r="ET381" s="1023"/>
      <c r="EW381" s="1023"/>
      <c r="EX381" s="1023"/>
      <c r="EY381" s="1023"/>
      <c r="EZ381" s="1023"/>
      <c r="FF381" s="758"/>
      <c r="FG381" s="1023"/>
      <c r="FH381" s="1023"/>
      <c r="FI381" s="1023"/>
      <c r="FJ381" s="1023"/>
      <c r="FL381" s="758"/>
      <c r="FM381" s="1023"/>
      <c r="FN381" s="1023"/>
      <c r="FO381" s="1023"/>
      <c r="FP381" s="1023"/>
      <c r="FR381" s="758"/>
      <c r="FS381" s="1023"/>
      <c r="FT381" s="1023"/>
      <c r="FU381" s="1023"/>
      <c r="FV381" s="1023"/>
      <c r="FX381" s="758"/>
      <c r="FZ381" s="758"/>
      <c r="GB381" s="758"/>
      <c r="GD381" s="758"/>
      <c r="GF381" s="758"/>
      <c r="GH381" s="758"/>
    </row>
    <row r="382" spans="5:190" ht="27.75" customHeight="1">
      <c r="E382" s="1076" t="s">
        <v>1369</v>
      </c>
      <c r="F382" s="1077"/>
      <c r="G382" s="1077"/>
      <c r="H382" s="1077" t="s">
        <v>1767</v>
      </c>
      <c r="I382" s="1072"/>
      <c r="J382" s="1072"/>
      <c r="K382" s="1072"/>
      <c r="L382" s="1072"/>
      <c r="M382" s="1072"/>
      <c r="N382" s="1072"/>
      <c r="O382" s="1072"/>
      <c r="P382" s="1072"/>
      <c r="Q382" s="1072"/>
      <c r="R382" s="1020"/>
      <c r="S382" s="1020"/>
      <c r="T382" s="1020"/>
      <c r="U382" s="1020"/>
      <c r="X382" s="1020"/>
      <c r="Y382" s="1020"/>
      <c r="Z382" s="1020"/>
      <c r="AA382" s="1020"/>
      <c r="AD382" s="1020"/>
      <c r="AE382" s="1020"/>
      <c r="AF382" s="1020"/>
      <c r="AG382" s="1020"/>
      <c r="AL382" s="1020"/>
      <c r="AM382" s="1020"/>
      <c r="AN382" s="1020"/>
      <c r="AO382" s="1020"/>
      <c r="AR382" s="1020"/>
      <c r="AS382" s="1020"/>
      <c r="AT382" s="1020"/>
      <c r="AU382" s="1020"/>
      <c r="AX382" s="1020"/>
      <c r="AY382" s="1020"/>
      <c r="AZ382" s="1020"/>
      <c r="BA382" s="1020"/>
      <c r="BD382" s="1020"/>
      <c r="BE382" s="1020"/>
      <c r="BF382" s="1020"/>
      <c r="BG382" s="1020"/>
      <c r="BJ382" s="1020"/>
      <c r="BK382" s="1020"/>
      <c r="BL382" s="1020"/>
      <c r="BM382" s="1020"/>
      <c r="BR382" s="1020"/>
      <c r="BS382" s="1020"/>
      <c r="BT382" s="1020"/>
      <c r="BU382" s="1020"/>
      <c r="CE382" s="1020"/>
      <c r="CF382" s="1020"/>
      <c r="CG382" s="1020"/>
      <c r="CH382" s="1020"/>
      <c r="CJ382" s="758"/>
      <c r="CK382" s="1020"/>
      <c r="CL382" s="1020"/>
      <c r="CM382" s="1020"/>
      <c r="CN382" s="1020"/>
      <c r="CQ382" s="1020"/>
      <c r="CR382" s="1020"/>
      <c r="CS382" s="1020"/>
      <c r="CT382" s="1020"/>
      <c r="CW382" s="1020"/>
      <c r="CX382" s="1020"/>
      <c r="CY382" s="1020"/>
      <c r="CZ382" s="1020"/>
      <c r="DC382" s="1020"/>
      <c r="DD382" s="1020"/>
      <c r="DE382" s="1020"/>
      <c r="DF382" s="1020"/>
      <c r="DI382" s="1020"/>
      <c r="DJ382" s="1020"/>
      <c r="DK382" s="1020"/>
      <c r="DL382" s="1020"/>
      <c r="DO382" s="1020"/>
      <c r="DP382" s="1020"/>
      <c r="DQ382" s="1020"/>
      <c r="DR382" s="1020"/>
      <c r="DW382" s="1020"/>
      <c r="DX382" s="1020"/>
      <c r="DY382" s="1020"/>
      <c r="DZ382" s="1020"/>
      <c r="EE382" s="1020"/>
      <c r="EF382" s="1020"/>
      <c r="EG382" s="1020"/>
      <c r="EH382" s="1020"/>
      <c r="EK382" s="1020"/>
      <c r="EL382" s="1020"/>
      <c r="EM382" s="1020"/>
      <c r="EN382" s="1020"/>
      <c r="EQ382" s="1020"/>
      <c r="ER382" s="1020"/>
      <c r="ES382" s="1020"/>
      <c r="ET382" s="1020"/>
      <c r="EW382" s="1020"/>
      <c r="EX382" s="1020"/>
      <c r="EY382" s="1020"/>
      <c r="EZ382" s="1020"/>
      <c r="FF382" s="758"/>
      <c r="FG382" s="1020"/>
      <c r="FH382" s="1020"/>
      <c r="FI382" s="1020"/>
      <c r="FJ382" s="1020"/>
      <c r="FL382" s="758"/>
      <c r="FM382" s="1020"/>
      <c r="FN382" s="1020"/>
      <c r="FO382" s="1020"/>
      <c r="FP382" s="1020"/>
      <c r="FR382" s="758"/>
      <c r="FS382" s="1020"/>
      <c r="FT382" s="1020"/>
      <c r="FU382" s="1020"/>
      <c r="FV382" s="1020"/>
      <c r="FX382" s="758"/>
      <c r="FZ382" s="758"/>
      <c r="GB382" s="758"/>
      <c r="GD382" s="758"/>
      <c r="GF382" s="758"/>
      <c r="GH382" s="758"/>
    </row>
    <row r="383" spans="5:190">
      <c r="E383" s="763" t="s">
        <v>739</v>
      </c>
    </row>
    <row r="385" spans="5:190">
      <c r="G385" s="763" t="s">
        <v>1768</v>
      </c>
      <c r="I385" s="787" t="s">
        <v>126</v>
      </c>
    </row>
    <row r="386" spans="5:190">
      <c r="E386" s="1060" t="s">
        <v>656</v>
      </c>
      <c r="F386" s="1061"/>
      <c r="G386" s="1061"/>
      <c r="H386" s="1061"/>
      <c r="I386" s="788">
        <f>O$253</f>
        <v>6039791</v>
      </c>
      <c r="J386" s="772"/>
      <c r="P386" s="772"/>
      <c r="V386" s="772"/>
      <c r="AB386" s="772"/>
      <c r="AH386" s="772"/>
      <c r="AJ386" s="772"/>
      <c r="AP386" s="772"/>
      <c r="AV386" s="772"/>
    </row>
    <row r="387" spans="5:190">
      <c r="E387" s="1060" t="s">
        <v>278</v>
      </c>
      <c r="F387" s="1061"/>
      <c r="G387" s="1061"/>
      <c r="H387" s="1061"/>
      <c r="I387" s="788">
        <f>U$253</f>
        <v>35578846</v>
      </c>
    </row>
    <row r="388" spans="5:190">
      <c r="E388" s="1039" t="s">
        <v>616</v>
      </c>
      <c r="F388" s="1087"/>
      <c r="G388" s="1087"/>
      <c r="H388" s="1087"/>
      <c r="I388" s="788">
        <f>AA$253</f>
        <v>22642320</v>
      </c>
    </row>
    <row r="389" spans="5:190">
      <c r="E389" s="1060" t="s">
        <v>487</v>
      </c>
      <c r="F389" s="1061"/>
      <c r="G389" s="1061"/>
      <c r="H389" s="1061"/>
      <c r="I389" s="788">
        <f>AG$253</f>
        <v>26139198</v>
      </c>
    </row>
    <row r="390" spans="5:190">
      <c r="E390" s="1060" t="s">
        <v>490</v>
      </c>
      <c r="F390" s="1061"/>
      <c r="G390" s="1061"/>
      <c r="H390" s="1061"/>
      <c r="I390" s="788">
        <f>AO$253</f>
        <v>5799939</v>
      </c>
    </row>
    <row r="391" spans="5:190">
      <c r="E391" s="1062" t="s">
        <v>1712</v>
      </c>
      <c r="F391" s="1063"/>
      <c r="G391" s="1063"/>
      <c r="H391" s="1063"/>
      <c r="I391" s="1024">
        <f>AK253</f>
        <v>0</v>
      </c>
    </row>
    <row r="392" spans="5:190">
      <c r="E392" s="1062" t="s">
        <v>488</v>
      </c>
      <c r="F392" s="1063"/>
      <c r="G392" s="1063"/>
      <c r="H392" s="1063"/>
      <c r="I392" s="1024"/>
    </row>
    <row r="393" spans="5:190">
      <c r="E393" s="1060" t="s">
        <v>35</v>
      </c>
      <c r="F393" s="1061"/>
      <c r="G393" s="1061"/>
      <c r="H393" s="1061"/>
      <c r="I393" s="788">
        <f>BA$253</f>
        <v>113245928</v>
      </c>
    </row>
    <row r="394" spans="5:190">
      <c r="E394" s="1060" t="s">
        <v>491</v>
      </c>
      <c r="F394" s="1061"/>
      <c r="G394" s="1061"/>
      <c r="H394" s="1061"/>
      <c r="I394" s="788">
        <f>BG$253</f>
        <v>25830014</v>
      </c>
    </row>
    <row r="395" spans="5:190">
      <c r="E395" s="1060" t="s">
        <v>1092</v>
      </c>
      <c r="F395" s="1061"/>
      <c r="G395" s="1061"/>
      <c r="H395" s="1061"/>
      <c r="I395" s="788">
        <f>BM$253</f>
        <v>338061813</v>
      </c>
    </row>
    <row r="396" spans="5:190">
      <c r="E396" s="1060" t="s">
        <v>489</v>
      </c>
      <c r="F396" s="1061"/>
      <c r="G396" s="1061"/>
      <c r="H396" s="1061"/>
      <c r="I396" s="788">
        <f>BU$253</f>
        <v>7274745</v>
      </c>
      <c r="K396" s="758"/>
      <c r="M396" s="758"/>
      <c r="O396" s="758"/>
      <c r="P396" s="758"/>
      <c r="Q396" s="758"/>
      <c r="S396" s="758"/>
      <c r="U396" s="758"/>
      <c r="V396" s="758"/>
      <c r="W396" s="758"/>
      <c r="Y396" s="758"/>
      <c r="AA396" s="758"/>
      <c r="AB396" s="758"/>
      <c r="AC396" s="758"/>
      <c r="AE396" s="758"/>
      <c r="AG396" s="758"/>
      <c r="AH396" s="758"/>
      <c r="AI396" s="758"/>
      <c r="AJ396" s="758"/>
      <c r="AK396" s="758"/>
      <c r="AM396" s="758"/>
      <c r="AO396" s="758"/>
      <c r="AP396" s="758"/>
      <c r="AQ396" s="758"/>
      <c r="AS396" s="758"/>
      <c r="AU396" s="758"/>
      <c r="AV396" s="758"/>
      <c r="AW396" s="758"/>
      <c r="AY396" s="758"/>
      <c r="BA396" s="758"/>
      <c r="BB396" s="758"/>
      <c r="BC396" s="758"/>
      <c r="BE396" s="758"/>
      <c r="BG396" s="758"/>
      <c r="BH396" s="758"/>
      <c r="BI396" s="758"/>
      <c r="BK396" s="758"/>
      <c r="BM396" s="758"/>
      <c r="BN396" s="758"/>
      <c r="BO396" s="758"/>
      <c r="BS396" s="758"/>
      <c r="BU396" s="758"/>
      <c r="CF396" s="758"/>
      <c r="CH396" s="758"/>
      <c r="CJ396" s="758"/>
      <c r="CL396" s="758"/>
      <c r="CN396" s="758"/>
      <c r="CR396" s="758"/>
      <c r="CT396" s="758"/>
      <c r="CX396" s="758"/>
      <c r="CZ396" s="758"/>
      <c r="DD396" s="758"/>
      <c r="DF396" s="758"/>
      <c r="DJ396" s="758"/>
      <c r="DL396" s="758"/>
      <c r="DP396" s="758"/>
      <c r="DR396" s="758"/>
      <c r="DX396" s="758"/>
      <c r="DZ396" s="758"/>
      <c r="EF396" s="758"/>
      <c r="EH396" s="758"/>
      <c r="EL396" s="758"/>
      <c r="EN396" s="758"/>
      <c r="ER396" s="758"/>
      <c r="ET396" s="758"/>
      <c r="EX396" s="758"/>
      <c r="EZ396" s="758"/>
      <c r="FF396" s="758"/>
      <c r="FH396" s="758"/>
      <c r="FJ396" s="758"/>
      <c r="FL396" s="758"/>
      <c r="FN396" s="758"/>
      <c r="FP396" s="758"/>
      <c r="FR396" s="758"/>
      <c r="FT396" s="758"/>
      <c r="FV396" s="758"/>
      <c r="FX396" s="758"/>
      <c r="FZ396" s="758"/>
      <c r="GB396" s="758"/>
      <c r="GD396" s="758"/>
      <c r="GF396" s="758"/>
      <c r="GH396" s="758"/>
    </row>
    <row r="397" spans="5:190">
      <c r="E397" s="1062" t="s">
        <v>1713</v>
      </c>
      <c r="F397" s="1063"/>
      <c r="G397" s="1063"/>
      <c r="H397" s="1063"/>
      <c r="I397" s="1024">
        <f>BQ253</f>
        <v>0</v>
      </c>
      <c r="K397" s="758"/>
      <c r="M397" s="758"/>
      <c r="O397" s="758"/>
      <c r="P397" s="758"/>
      <c r="Q397" s="758"/>
      <c r="S397" s="758"/>
      <c r="U397" s="758"/>
      <c r="V397" s="758"/>
      <c r="W397" s="758"/>
      <c r="Y397" s="758"/>
      <c r="AA397" s="758"/>
      <c r="AB397" s="758"/>
      <c r="AC397" s="758"/>
      <c r="AE397" s="758"/>
      <c r="AG397" s="758"/>
      <c r="AH397" s="758"/>
      <c r="AI397" s="758"/>
      <c r="AJ397" s="758"/>
      <c r="AK397" s="758"/>
      <c r="AM397" s="758"/>
      <c r="AO397" s="758"/>
      <c r="AP397" s="758"/>
      <c r="AQ397" s="758"/>
      <c r="AS397" s="758"/>
      <c r="AU397" s="758"/>
      <c r="AV397" s="758"/>
      <c r="AW397" s="758"/>
      <c r="AY397" s="758"/>
      <c r="BA397" s="758"/>
      <c r="BB397" s="758"/>
      <c r="BC397" s="758"/>
      <c r="BE397" s="758"/>
      <c r="BG397" s="758"/>
      <c r="BH397" s="758"/>
      <c r="BI397" s="758"/>
      <c r="BK397" s="758"/>
      <c r="BM397" s="758"/>
      <c r="BN397" s="758"/>
      <c r="BO397" s="758"/>
      <c r="BS397" s="758"/>
      <c r="BU397" s="758"/>
      <c r="CF397" s="758"/>
      <c r="CH397" s="758"/>
      <c r="CJ397" s="758"/>
      <c r="CL397" s="758"/>
      <c r="CN397" s="758"/>
      <c r="CR397" s="758"/>
      <c r="CT397" s="758"/>
      <c r="CX397" s="758"/>
      <c r="CZ397" s="758"/>
      <c r="DD397" s="758"/>
      <c r="DF397" s="758"/>
      <c r="DJ397" s="758"/>
      <c r="DL397" s="758"/>
      <c r="DP397" s="758"/>
      <c r="DR397" s="758"/>
      <c r="DX397" s="758"/>
      <c r="DZ397" s="758"/>
      <c r="EF397" s="758"/>
      <c r="EH397" s="758"/>
      <c r="EL397" s="758"/>
      <c r="EN397" s="758"/>
      <c r="ER397" s="758"/>
      <c r="ET397" s="758"/>
      <c r="EX397" s="758"/>
      <c r="EZ397" s="758"/>
      <c r="FF397" s="758"/>
      <c r="FH397" s="758"/>
      <c r="FJ397" s="758"/>
      <c r="FL397" s="758"/>
      <c r="FN397" s="758"/>
      <c r="FP397" s="758"/>
      <c r="FR397" s="758"/>
      <c r="FT397" s="758"/>
      <c r="FV397" s="758"/>
      <c r="FX397" s="758"/>
      <c r="FZ397" s="758"/>
      <c r="GB397" s="758"/>
      <c r="GD397" s="758"/>
      <c r="GF397" s="758"/>
      <c r="GH397" s="758"/>
    </row>
    <row r="398" spans="5:190">
      <c r="E398" s="1060" t="s">
        <v>53</v>
      </c>
      <c r="F398" s="1061"/>
      <c r="G398" s="1061"/>
      <c r="H398" s="1061"/>
      <c r="I398" s="788">
        <f>CH$253</f>
        <v>4963647</v>
      </c>
      <c r="K398" s="758"/>
      <c r="M398" s="758"/>
      <c r="O398" s="758"/>
      <c r="P398" s="758"/>
      <c r="Q398" s="758"/>
      <c r="S398" s="758"/>
      <c r="U398" s="758"/>
      <c r="V398" s="758"/>
      <c r="W398" s="758"/>
      <c r="Y398" s="758"/>
      <c r="AA398" s="758"/>
      <c r="AB398" s="758"/>
      <c r="AC398" s="758"/>
      <c r="AE398" s="758"/>
      <c r="AG398" s="758"/>
      <c r="AH398" s="758"/>
      <c r="AI398" s="758"/>
      <c r="AJ398" s="758"/>
      <c r="AK398" s="758"/>
      <c r="AM398" s="758"/>
      <c r="AO398" s="758"/>
      <c r="AP398" s="758"/>
      <c r="AQ398" s="758"/>
      <c r="AS398" s="758"/>
      <c r="AU398" s="758"/>
      <c r="AV398" s="758"/>
      <c r="AW398" s="758"/>
      <c r="AY398" s="758"/>
      <c r="BA398" s="758"/>
      <c r="BB398" s="758"/>
      <c r="BC398" s="758"/>
      <c r="BE398" s="758"/>
      <c r="BG398" s="758"/>
      <c r="BH398" s="758"/>
      <c r="BI398" s="758"/>
      <c r="BK398" s="758"/>
      <c r="BM398" s="758"/>
      <c r="BN398" s="758"/>
      <c r="BO398" s="758"/>
      <c r="BS398" s="758"/>
      <c r="BU398" s="758"/>
      <c r="CF398" s="758"/>
      <c r="CH398" s="758"/>
      <c r="CJ398" s="758"/>
      <c r="CL398" s="758"/>
      <c r="CN398" s="758"/>
      <c r="CR398" s="758"/>
      <c r="CT398" s="758"/>
      <c r="CX398" s="758"/>
      <c r="CZ398" s="758"/>
      <c r="DD398" s="758"/>
      <c r="DF398" s="758"/>
      <c r="DJ398" s="758"/>
      <c r="DL398" s="758"/>
      <c r="DP398" s="758"/>
      <c r="DR398" s="758"/>
      <c r="DX398" s="758"/>
      <c r="DZ398" s="758"/>
      <c r="EF398" s="758"/>
      <c r="EH398" s="758"/>
      <c r="EL398" s="758"/>
      <c r="EN398" s="758"/>
      <c r="ER398" s="758"/>
      <c r="ET398" s="758"/>
      <c r="EX398" s="758"/>
      <c r="EZ398" s="758"/>
      <c r="FF398" s="758"/>
      <c r="FH398" s="758"/>
      <c r="FJ398" s="758"/>
      <c r="FL398" s="758"/>
      <c r="FN398" s="758"/>
      <c r="FP398" s="758"/>
      <c r="FR398" s="758"/>
      <c r="FT398" s="758"/>
      <c r="FV398" s="758"/>
      <c r="FX398" s="758"/>
      <c r="FZ398" s="758"/>
      <c r="GB398" s="758"/>
      <c r="GD398" s="758"/>
      <c r="GF398" s="758"/>
      <c r="GH398" s="758"/>
    </row>
    <row r="399" spans="5:190" ht="26.25" customHeight="1">
      <c r="E399" s="1049" t="s">
        <v>1714</v>
      </c>
      <c r="F399" s="1050"/>
      <c r="G399" s="1050"/>
      <c r="H399" s="1051"/>
      <c r="I399" s="1024">
        <f>BZ253</f>
        <v>0</v>
      </c>
      <c r="K399" s="758"/>
      <c r="M399" s="758"/>
      <c r="O399" s="758"/>
      <c r="P399" s="758"/>
      <c r="Q399" s="758"/>
      <c r="S399" s="758"/>
      <c r="U399" s="758"/>
      <c r="V399" s="758"/>
      <c r="W399" s="758"/>
      <c r="Y399" s="758"/>
      <c r="AA399" s="758"/>
      <c r="AB399" s="758"/>
      <c r="AC399" s="758"/>
      <c r="AE399" s="758"/>
      <c r="AG399" s="758"/>
      <c r="AH399" s="758"/>
      <c r="AI399" s="758"/>
      <c r="AJ399" s="758"/>
      <c r="AK399" s="758"/>
      <c r="AM399" s="758"/>
      <c r="AO399" s="758"/>
      <c r="AP399" s="758"/>
      <c r="AQ399" s="758"/>
      <c r="AS399" s="758"/>
      <c r="AU399" s="758"/>
      <c r="AV399" s="758"/>
      <c r="AW399" s="758"/>
      <c r="AY399" s="758"/>
      <c r="BA399" s="758"/>
      <c r="BB399" s="758"/>
      <c r="BC399" s="758"/>
      <c r="BE399" s="758"/>
      <c r="BG399" s="758"/>
      <c r="BH399" s="758"/>
      <c r="BI399" s="758"/>
      <c r="BK399" s="758"/>
      <c r="BM399" s="758"/>
      <c r="BN399" s="758"/>
      <c r="BO399" s="758"/>
      <c r="BS399" s="758"/>
      <c r="BU399" s="758"/>
      <c r="CF399" s="758"/>
      <c r="CH399" s="758"/>
      <c r="CJ399" s="758"/>
      <c r="CL399" s="758"/>
      <c r="CN399" s="758"/>
      <c r="CR399" s="758"/>
      <c r="CT399" s="758"/>
      <c r="CX399" s="758"/>
      <c r="CZ399" s="758"/>
      <c r="DD399" s="758"/>
      <c r="DF399" s="758"/>
      <c r="DJ399" s="758"/>
      <c r="DL399" s="758"/>
      <c r="DP399" s="758"/>
      <c r="DR399" s="758"/>
      <c r="DX399" s="758"/>
      <c r="DZ399" s="758"/>
      <c r="EF399" s="758"/>
      <c r="EH399" s="758"/>
      <c r="EL399" s="758"/>
      <c r="EN399" s="758"/>
      <c r="ER399" s="758"/>
      <c r="ET399" s="758"/>
      <c r="EX399" s="758"/>
      <c r="EZ399" s="758"/>
      <c r="FF399" s="758"/>
      <c r="FH399" s="758"/>
      <c r="FJ399" s="758"/>
      <c r="FL399" s="758"/>
      <c r="FN399" s="758"/>
      <c r="FP399" s="758"/>
      <c r="FR399" s="758"/>
      <c r="FT399" s="758"/>
      <c r="FV399" s="758"/>
      <c r="FX399" s="758"/>
      <c r="FZ399" s="758"/>
      <c r="GB399" s="758"/>
      <c r="GD399" s="758"/>
      <c r="GF399" s="758"/>
      <c r="GH399" s="758"/>
    </row>
    <row r="400" spans="5:190">
      <c r="E400" s="1044" t="s">
        <v>1368</v>
      </c>
      <c r="F400" s="1047"/>
      <c r="G400" s="1047"/>
      <c r="H400" s="1048"/>
      <c r="I400" s="1024">
        <f>CB253</f>
        <v>0</v>
      </c>
      <c r="K400" s="758"/>
      <c r="M400" s="758"/>
      <c r="O400" s="758"/>
      <c r="P400" s="758"/>
      <c r="Q400" s="758"/>
      <c r="S400" s="758"/>
      <c r="U400" s="758"/>
      <c r="V400" s="758"/>
      <c r="W400" s="758"/>
      <c r="Y400" s="758"/>
      <c r="AA400" s="758"/>
      <c r="AB400" s="758"/>
      <c r="AC400" s="758"/>
      <c r="AE400" s="758"/>
      <c r="AG400" s="758"/>
      <c r="AH400" s="758"/>
      <c r="AI400" s="758"/>
      <c r="AJ400" s="758"/>
      <c r="AK400" s="758"/>
      <c r="AM400" s="758"/>
      <c r="AO400" s="758"/>
      <c r="AP400" s="758"/>
      <c r="AQ400" s="758"/>
      <c r="AS400" s="758"/>
      <c r="AU400" s="758"/>
      <c r="AV400" s="758"/>
      <c r="AW400" s="758"/>
      <c r="AY400" s="758"/>
      <c r="BA400" s="758"/>
      <c r="BB400" s="758"/>
      <c r="BC400" s="758"/>
      <c r="BE400" s="758"/>
      <c r="BG400" s="758"/>
      <c r="BH400" s="758"/>
      <c r="BI400" s="758"/>
      <c r="BK400" s="758"/>
      <c r="BM400" s="758"/>
      <c r="BN400" s="758"/>
      <c r="BO400" s="758"/>
      <c r="BS400" s="758"/>
      <c r="BU400" s="758"/>
      <c r="CF400" s="758"/>
      <c r="CH400" s="758"/>
      <c r="CJ400" s="758"/>
      <c r="CL400" s="758"/>
      <c r="CN400" s="758"/>
      <c r="CR400" s="758"/>
      <c r="CT400" s="758"/>
      <c r="CX400" s="758"/>
      <c r="CZ400" s="758"/>
      <c r="DD400" s="758"/>
      <c r="DF400" s="758"/>
      <c r="DJ400" s="758"/>
      <c r="DL400" s="758"/>
      <c r="DP400" s="758"/>
      <c r="DR400" s="758"/>
      <c r="DX400" s="758"/>
      <c r="DZ400" s="758"/>
      <c r="EF400" s="758"/>
      <c r="EH400" s="758"/>
      <c r="EL400" s="758"/>
      <c r="EN400" s="758"/>
      <c r="ER400" s="758"/>
      <c r="ET400" s="758"/>
      <c r="EX400" s="758"/>
      <c r="EZ400" s="758"/>
      <c r="FF400" s="758"/>
      <c r="FH400" s="758"/>
      <c r="FJ400" s="758"/>
      <c r="FL400" s="758"/>
      <c r="FN400" s="758"/>
      <c r="FP400" s="758"/>
      <c r="FR400" s="758"/>
      <c r="FT400" s="758"/>
      <c r="FV400" s="758"/>
      <c r="FX400" s="758"/>
      <c r="FZ400" s="758"/>
      <c r="GB400" s="758"/>
      <c r="GD400" s="758"/>
      <c r="GF400" s="758"/>
      <c r="GH400" s="758"/>
    </row>
    <row r="401" spans="5:190">
      <c r="E401" s="1044" t="s">
        <v>1715</v>
      </c>
      <c r="F401" s="1047"/>
      <c r="G401" s="1047"/>
      <c r="H401" s="1048"/>
      <c r="I401" s="1024">
        <f>SUM(CD253)</f>
        <v>0</v>
      </c>
      <c r="K401" s="758"/>
      <c r="M401" s="758"/>
      <c r="O401" s="758"/>
      <c r="P401" s="758"/>
      <c r="Q401" s="758"/>
      <c r="S401" s="758"/>
      <c r="U401" s="758"/>
      <c r="V401" s="758"/>
      <c r="W401" s="758"/>
      <c r="Y401" s="758"/>
      <c r="AA401" s="758"/>
      <c r="AB401" s="758"/>
      <c r="AC401" s="758"/>
      <c r="AE401" s="758"/>
      <c r="AG401" s="758"/>
      <c r="AH401" s="758"/>
      <c r="AI401" s="758"/>
      <c r="AJ401" s="758"/>
      <c r="AK401" s="758"/>
      <c r="AM401" s="758"/>
      <c r="AO401" s="758"/>
      <c r="AP401" s="758"/>
      <c r="AQ401" s="758"/>
      <c r="AS401" s="758"/>
      <c r="AU401" s="758"/>
      <c r="AV401" s="758"/>
      <c r="AW401" s="758"/>
      <c r="AY401" s="758"/>
      <c r="BA401" s="758"/>
      <c r="BB401" s="758"/>
      <c r="BC401" s="758"/>
      <c r="BE401" s="758"/>
      <c r="BG401" s="758"/>
      <c r="BH401" s="758"/>
      <c r="BI401" s="758"/>
      <c r="BK401" s="758"/>
      <c r="BM401" s="758"/>
      <c r="BN401" s="758"/>
      <c r="BO401" s="758"/>
      <c r="BS401" s="758"/>
      <c r="BU401" s="758"/>
      <c r="CF401" s="758"/>
      <c r="CH401" s="758"/>
      <c r="CJ401" s="758"/>
      <c r="CL401" s="758"/>
      <c r="CN401" s="758"/>
      <c r="CR401" s="758"/>
      <c r="CT401" s="758"/>
      <c r="CX401" s="758"/>
      <c r="CZ401" s="758"/>
      <c r="DD401" s="758"/>
      <c r="DF401" s="758"/>
      <c r="DJ401" s="758"/>
      <c r="DL401" s="758"/>
      <c r="DP401" s="758"/>
      <c r="DR401" s="758"/>
      <c r="DX401" s="758"/>
      <c r="DZ401" s="758"/>
      <c r="EF401" s="758"/>
      <c r="EH401" s="758"/>
      <c r="EL401" s="758"/>
      <c r="EN401" s="758"/>
      <c r="ER401" s="758"/>
      <c r="ET401" s="758"/>
      <c r="EX401" s="758"/>
      <c r="EZ401" s="758"/>
      <c r="FF401" s="758"/>
      <c r="FH401" s="758"/>
      <c r="FJ401" s="758"/>
      <c r="FL401" s="758"/>
      <c r="FN401" s="758"/>
      <c r="FP401" s="758"/>
      <c r="FR401" s="758"/>
      <c r="FT401" s="758"/>
      <c r="FV401" s="758"/>
      <c r="FX401" s="758"/>
      <c r="FZ401" s="758"/>
      <c r="GB401" s="758"/>
      <c r="GD401" s="758"/>
      <c r="GF401" s="758"/>
      <c r="GH401" s="758"/>
    </row>
    <row r="402" spans="5:190">
      <c r="E402" s="1036" t="s">
        <v>751</v>
      </c>
      <c r="F402" s="1052"/>
      <c r="G402" s="1052"/>
      <c r="H402" s="1053"/>
      <c r="I402" s="788">
        <f>CN$253</f>
        <v>574467</v>
      </c>
      <c r="K402" s="758"/>
      <c r="M402" s="758"/>
      <c r="O402" s="758"/>
      <c r="P402" s="758"/>
      <c r="Q402" s="758"/>
      <c r="S402" s="758"/>
      <c r="U402" s="758"/>
      <c r="V402" s="758"/>
      <c r="W402" s="758"/>
      <c r="Y402" s="758"/>
      <c r="AA402" s="758"/>
      <c r="AB402" s="758"/>
      <c r="AC402" s="758"/>
      <c r="AE402" s="758"/>
      <c r="AG402" s="758"/>
      <c r="AH402" s="758"/>
      <c r="AI402" s="758"/>
      <c r="AJ402" s="758"/>
      <c r="AK402" s="758"/>
      <c r="AM402" s="758"/>
      <c r="AO402" s="758"/>
      <c r="AP402" s="758"/>
      <c r="AQ402" s="758"/>
      <c r="AS402" s="758"/>
      <c r="AU402" s="758"/>
      <c r="AV402" s="758"/>
      <c r="AW402" s="758"/>
      <c r="AY402" s="758"/>
      <c r="BA402" s="758"/>
      <c r="BB402" s="758"/>
      <c r="BC402" s="758"/>
      <c r="BE402" s="758"/>
      <c r="BG402" s="758"/>
      <c r="BH402" s="758"/>
      <c r="BI402" s="758"/>
      <c r="BK402" s="758"/>
      <c r="BM402" s="758"/>
      <c r="BN402" s="758"/>
      <c r="BO402" s="758"/>
      <c r="BS402" s="758"/>
      <c r="BU402" s="758"/>
      <c r="CF402" s="758"/>
      <c r="CH402" s="758"/>
      <c r="CJ402" s="758"/>
      <c r="CL402" s="758"/>
      <c r="CN402" s="758"/>
      <c r="CR402" s="758"/>
      <c r="CT402" s="758"/>
      <c r="CX402" s="758"/>
      <c r="CZ402" s="758"/>
      <c r="DD402" s="758"/>
      <c r="DF402" s="758"/>
      <c r="DJ402" s="758"/>
      <c r="DL402" s="758"/>
      <c r="DP402" s="758"/>
      <c r="DR402" s="758"/>
      <c r="DX402" s="758"/>
      <c r="DZ402" s="758"/>
      <c r="EF402" s="758"/>
      <c r="EH402" s="758"/>
      <c r="EL402" s="758"/>
      <c r="EN402" s="758"/>
      <c r="ER402" s="758"/>
      <c r="ET402" s="758"/>
      <c r="EX402" s="758"/>
      <c r="EZ402" s="758"/>
      <c r="FF402" s="758"/>
      <c r="FH402" s="758"/>
      <c r="FJ402" s="758"/>
      <c r="FL402" s="758"/>
      <c r="FN402" s="758"/>
      <c r="FP402" s="758"/>
      <c r="FR402" s="758"/>
      <c r="FT402" s="758"/>
      <c r="FV402" s="758"/>
      <c r="FX402" s="758"/>
      <c r="FZ402" s="758"/>
      <c r="GB402" s="758"/>
      <c r="GD402" s="758"/>
      <c r="GF402" s="758"/>
      <c r="GH402" s="758"/>
    </row>
    <row r="403" spans="5:190">
      <c r="E403" s="1036" t="s">
        <v>54</v>
      </c>
      <c r="F403" s="1037"/>
      <c r="G403" s="1037"/>
      <c r="H403" s="1038"/>
      <c r="I403" s="788">
        <f>CT$253</f>
        <v>527169</v>
      </c>
      <c r="K403" s="758"/>
      <c r="M403" s="758"/>
      <c r="O403" s="758"/>
      <c r="P403" s="758"/>
      <c r="Q403" s="758"/>
      <c r="S403" s="758"/>
      <c r="U403" s="758"/>
      <c r="V403" s="758"/>
      <c r="W403" s="758"/>
      <c r="Y403" s="758"/>
      <c r="AA403" s="758"/>
      <c r="AB403" s="758"/>
      <c r="AC403" s="758"/>
      <c r="AE403" s="758"/>
      <c r="AG403" s="758"/>
      <c r="AH403" s="758"/>
      <c r="AI403" s="758"/>
      <c r="AJ403" s="758"/>
      <c r="AK403" s="758"/>
      <c r="AM403" s="758"/>
      <c r="AO403" s="758"/>
      <c r="AP403" s="758"/>
      <c r="AQ403" s="758"/>
      <c r="AS403" s="758"/>
      <c r="AU403" s="758"/>
      <c r="AV403" s="758"/>
      <c r="AW403" s="758"/>
      <c r="AY403" s="758"/>
      <c r="BA403" s="758"/>
      <c r="BB403" s="758"/>
      <c r="BC403" s="758"/>
      <c r="BE403" s="758"/>
      <c r="BG403" s="758"/>
      <c r="BH403" s="758"/>
      <c r="BI403" s="758"/>
      <c r="BK403" s="758"/>
      <c r="BM403" s="758"/>
      <c r="BN403" s="758"/>
      <c r="BO403" s="758"/>
      <c r="BS403" s="758"/>
      <c r="BU403" s="758"/>
      <c r="CF403" s="758"/>
      <c r="CH403" s="758"/>
      <c r="CJ403" s="758"/>
      <c r="CL403" s="758"/>
      <c r="CN403" s="758"/>
      <c r="CR403" s="758"/>
      <c r="CT403" s="758"/>
      <c r="CX403" s="758"/>
      <c r="CZ403" s="758"/>
      <c r="DD403" s="758"/>
      <c r="DF403" s="758"/>
      <c r="DJ403" s="758"/>
      <c r="DL403" s="758"/>
      <c r="DP403" s="758"/>
      <c r="DR403" s="758"/>
      <c r="DX403" s="758"/>
      <c r="DZ403" s="758"/>
      <c r="EF403" s="758"/>
      <c r="EH403" s="758"/>
      <c r="EL403" s="758"/>
      <c r="EN403" s="758"/>
      <c r="ER403" s="758"/>
      <c r="ET403" s="758"/>
      <c r="EX403" s="758"/>
      <c r="EZ403" s="758"/>
      <c r="FF403" s="758"/>
      <c r="FH403" s="758"/>
      <c r="FJ403" s="758"/>
      <c r="FL403" s="758"/>
      <c r="FN403" s="758"/>
      <c r="FP403" s="758"/>
      <c r="FR403" s="758"/>
      <c r="FT403" s="758"/>
      <c r="FV403" s="758"/>
      <c r="FX403" s="758"/>
      <c r="FZ403" s="758"/>
      <c r="GB403" s="758"/>
      <c r="GD403" s="758"/>
      <c r="GF403" s="758"/>
      <c r="GH403" s="758"/>
    </row>
    <row r="404" spans="5:190">
      <c r="E404" s="1041" t="s">
        <v>1716</v>
      </c>
      <c r="F404" s="1042"/>
      <c r="G404" s="1042"/>
      <c r="H404" s="1043"/>
      <c r="I404" s="788">
        <f>CZ$253</f>
        <v>1939377</v>
      </c>
      <c r="K404" s="758"/>
      <c r="M404" s="758"/>
      <c r="O404" s="758"/>
      <c r="P404" s="758"/>
      <c r="Q404" s="758"/>
      <c r="S404" s="758"/>
      <c r="U404" s="758"/>
      <c r="V404" s="758"/>
      <c r="W404" s="758"/>
      <c r="Y404" s="758"/>
      <c r="AA404" s="758"/>
      <c r="AB404" s="758"/>
      <c r="AC404" s="758"/>
      <c r="AE404" s="758"/>
      <c r="AG404" s="758"/>
      <c r="AH404" s="758"/>
      <c r="AI404" s="758"/>
      <c r="AJ404" s="758"/>
      <c r="AK404" s="758"/>
      <c r="AM404" s="758"/>
      <c r="AO404" s="758"/>
      <c r="AP404" s="758"/>
      <c r="AQ404" s="758"/>
      <c r="AS404" s="758"/>
      <c r="AU404" s="758"/>
      <c r="AV404" s="758"/>
      <c r="AW404" s="758"/>
      <c r="AY404" s="758"/>
      <c r="BA404" s="758"/>
      <c r="BB404" s="758"/>
      <c r="BC404" s="758"/>
      <c r="BE404" s="758"/>
      <c r="BG404" s="758"/>
      <c r="BH404" s="758"/>
      <c r="BI404" s="758"/>
      <c r="BK404" s="758"/>
      <c r="BM404" s="758"/>
      <c r="BN404" s="758"/>
      <c r="BO404" s="758"/>
      <c r="BS404" s="758"/>
      <c r="BU404" s="758"/>
      <c r="CF404" s="758"/>
      <c r="CH404" s="758"/>
      <c r="CJ404" s="758"/>
      <c r="CL404" s="758"/>
      <c r="CN404" s="758"/>
      <c r="CR404" s="758"/>
      <c r="CT404" s="758"/>
      <c r="CX404" s="758"/>
      <c r="CZ404" s="758"/>
      <c r="DD404" s="758"/>
      <c r="DF404" s="758"/>
      <c r="DJ404" s="758"/>
      <c r="DL404" s="758"/>
      <c r="DP404" s="758"/>
      <c r="DR404" s="758"/>
      <c r="DX404" s="758"/>
      <c r="DZ404" s="758"/>
      <c r="EF404" s="758"/>
      <c r="EH404" s="758"/>
      <c r="EL404" s="758"/>
      <c r="EN404" s="758"/>
      <c r="ER404" s="758"/>
      <c r="ET404" s="758"/>
      <c r="EX404" s="758"/>
      <c r="EZ404" s="758"/>
      <c r="FF404" s="758"/>
      <c r="FH404" s="758"/>
      <c r="FJ404" s="758"/>
      <c r="FL404" s="758"/>
      <c r="FN404" s="758"/>
      <c r="FP404" s="758"/>
      <c r="FR404" s="758"/>
      <c r="FT404" s="758"/>
      <c r="FV404" s="758"/>
      <c r="FX404" s="758"/>
      <c r="FZ404" s="758"/>
      <c r="GB404" s="758"/>
      <c r="GD404" s="758"/>
      <c r="GF404" s="758"/>
      <c r="GH404" s="758"/>
    </row>
    <row r="405" spans="5:190">
      <c r="E405" s="1036" t="s">
        <v>55</v>
      </c>
      <c r="F405" s="1037"/>
      <c r="G405" s="1037"/>
      <c r="H405" s="1038"/>
      <c r="I405" s="788">
        <f>DF$253</f>
        <v>1177022000</v>
      </c>
      <c r="K405" s="758"/>
      <c r="M405" s="758"/>
      <c r="O405" s="758"/>
      <c r="P405" s="758"/>
      <c r="Q405" s="758"/>
      <c r="S405" s="758"/>
      <c r="U405" s="758"/>
      <c r="V405" s="758"/>
      <c r="W405" s="758"/>
      <c r="Y405" s="758"/>
      <c r="AA405" s="758"/>
      <c r="AB405" s="758"/>
      <c r="AC405" s="758"/>
      <c r="AE405" s="758"/>
      <c r="AG405" s="758"/>
      <c r="AH405" s="758"/>
      <c r="AI405" s="758"/>
      <c r="AJ405" s="758"/>
      <c r="AK405" s="758"/>
      <c r="AM405" s="758"/>
      <c r="AO405" s="758"/>
      <c r="AP405" s="758"/>
      <c r="AQ405" s="758"/>
      <c r="AS405" s="758"/>
      <c r="AU405" s="758"/>
      <c r="AV405" s="758"/>
      <c r="AW405" s="758"/>
      <c r="AY405" s="758"/>
      <c r="BA405" s="758"/>
      <c r="BB405" s="758"/>
      <c r="BC405" s="758"/>
      <c r="BE405" s="758"/>
      <c r="BG405" s="758"/>
      <c r="BH405" s="758"/>
      <c r="BI405" s="758"/>
      <c r="BK405" s="758"/>
      <c r="BM405" s="758"/>
      <c r="BN405" s="758"/>
      <c r="BO405" s="758"/>
      <c r="BS405" s="758"/>
      <c r="BU405" s="758"/>
      <c r="CF405" s="758"/>
      <c r="CH405" s="758"/>
      <c r="CJ405" s="758"/>
      <c r="CL405" s="758"/>
      <c r="CN405" s="758"/>
      <c r="CR405" s="758"/>
      <c r="CT405" s="758"/>
      <c r="CX405" s="758"/>
      <c r="CZ405" s="758"/>
      <c r="DD405" s="758"/>
      <c r="DF405" s="758"/>
      <c r="DJ405" s="758"/>
      <c r="DL405" s="758"/>
      <c r="DP405" s="758"/>
      <c r="DR405" s="758"/>
      <c r="DX405" s="758"/>
      <c r="DZ405" s="758"/>
      <c r="EF405" s="758"/>
      <c r="EH405" s="758"/>
      <c r="EL405" s="758"/>
      <c r="EN405" s="758"/>
      <c r="ER405" s="758"/>
      <c r="ET405" s="758"/>
      <c r="EX405" s="758"/>
      <c r="EZ405" s="758"/>
      <c r="FF405" s="758"/>
      <c r="FH405" s="758"/>
      <c r="FJ405" s="758"/>
      <c r="FL405" s="758"/>
      <c r="FN405" s="758"/>
      <c r="FP405" s="758"/>
      <c r="FR405" s="758"/>
      <c r="FT405" s="758"/>
      <c r="FV405" s="758"/>
      <c r="FX405" s="758"/>
      <c r="FZ405" s="758"/>
      <c r="GB405" s="758"/>
      <c r="GD405" s="758"/>
      <c r="GF405" s="758"/>
      <c r="GH405" s="758"/>
    </row>
    <row r="406" spans="5:190">
      <c r="E406" s="1041" t="s">
        <v>1717</v>
      </c>
      <c r="F406" s="1042"/>
      <c r="G406" s="1042"/>
      <c r="H406" s="1043"/>
      <c r="I406" s="788">
        <f>DL$253</f>
        <v>5769664</v>
      </c>
      <c r="K406" s="758"/>
      <c r="M406" s="758"/>
      <c r="O406" s="758"/>
      <c r="P406" s="758"/>
      <c r="Q406" s="758"/>
      <c r="S406" s="758"/>
      <c r="U406" s="758"/>
      <c r="V406" s="758"/>
      <c r="W406" s="758"/>
      <c r="Y406" s="758"/>
      <c r="AA406" s="758"/>
      <c r="AB406" s="758"/>
      <c r="AC406" s="758"/>
      <c r="AE406" s="758"/>
      <c r="AG406" s="758"/>
      <c r="AH406" s="758"/>
      <c r="AI406" s="758"/>
      <c r="AJ406" s="758"/>
      <c r="AK406" s="758"/>
      <c r="AM406" s="758"/>
      <c r="AO406" s="758"/>
      <c r="AP406" s="758"/>
      <c r="AQ406" s="758"/>
      <c r="AS406" s="758"/>
      <c r="AU406" s="758"/>
      <c r="AV406" s="758"/>
      <c r="AW406" s="758"/>
      <c r="AY406" s="758"/>
      <c r="BA406" s="758"/>
      <c r="BB406" s="758"/>
      <c r="BC406" s="758"/>
      <c r="BE406" s="758"/>
      <c r="BG406" s="758"/>
      <c r="BH406" s="758"/>
      <c r="BI406" s="758"/>
      <c r="BK406" s="758"/>
      <c r="BM406" s="758"/>
      <c r="BN406" s="758"/>
      <c r="BO406" s="758"/>
      <c r="BS406" s="758"/>
      <c r="BU406" s="758"/>
      <c r="CF406" s="758"/>
      <c r="CH406" s="758"/>
      <c r="CJ406" s="758"/>
      <c r="CL406" s="758"/>
      <c r="CN406" s="758"/>
      <c r="CR406" s="758"/>
      <c r="CT406" s="758"/>
      <c r="CX406" s="758"/>
      <c r="CZ406" s="758"/>
      <c r="DD406" s="758"/>
      <c r="DF406" s="758"/>
      <c r="DJ406" s="758"/>
      <c r="DL406" s="758"/>
      <c r="DP406" s="758"/>
      <c r="DR406" s="758"/>
      <c r="DX406" s="758"/>
      <c r="DZ406" s="758"/>
      <c r="EF406" s="758"/>
      <c r="EH406" s="758"/>
      <c r="EL406" s="758"/>
      <c r="EN406" s="758"/>
      <c r="ER406" s="758"/>
      <c r="ET406" s="758"/>
      <c r="EX406" s="758"/>
      <c r="EZ406" s="758"/>
      <c r="FF406" s="758"/>
      <c r="FH406" s="758"/>
      <c r="FJ406" s="758"/>
      <c r="FL406" s="758"/>
      <c r="FN406" s="758"/>
      <c r="FP406" s="758"/>
      <c r="FR406" s="758"/>
      <c r="FT406" s="758"/>
      <c r="FV406" s="758"/>
      <c r="FX406" s="758"/>
      <c r="FZ406" s="758"/>
      <c r="GB406" s="758"/>
      <c r="GD406" s="758"/>
      <c r="GF406" s="758"/>
      <c r="GH406" s="758"/>
    </row>
    <row r="407" spans="5:190">
      <c r="E407" s="1041" t="s">
        <v>1718</v>
      </c>
      <c r="F407" s="1042"/>
      <c r="G407" s="1042"/>
      <c r="H407" s="1043"/>
      <c r="I407" s="788">
        <f>DR$253</f>
        <v>29862885</v>
      </c>
      <c r="K407" s="758"/>
      <c r="M407" s="758"/>
      <c r="O407" s="758"/>
      <c r="P407" s="758"/>
      <c r="Q407" s="758"/>
      <c r="S407" s="758"/>
      <c r="U407" s="758"/>
      <c r="V407" s="758"/>
      <c r="W407" s="758"/>
      <c r="Y407" s="758"/>
      <c r="AA407" s="758"/>
      <c r="AB407" s="758"/>
      <c r="AC407" s="758"/>
      <c r="AE407" s="758"/>
      <c r="AG407" s="758"/>
      <c r="AH407" s="758"/>
      <c r="AI407" s="758"/>
      <c r="AJ407" s="758"/>
      <c r="AK407" s="758"/>
      <c r="AM407" s="758"/>
      <c r="AO407" s="758"/>
      <c r="AP407" s="758"/>
      <c r="AQ407" s="758"/>
      <c r="AS407" s="758"/>
      <c r="AU407" s="758"/>
      <c r="AV407" s="758"/>
      <c r="AW407" s="758"/>
      <c r="AY407" s="758"/>
      <c r="BA407" s="758"/>
      <c r="BB407" s="758"/>
      <c r="BC407" s="758"/>
      <c r="BE407" s="758"/>
      <c r="BG407" s="758"/>
      <c r="BH407" s="758"/>
      <c r="BI407" s="758"/>
      <c r="BK407" s="758"/>
      <c r="BM407" s="758"/>
      <c r="BN407" s="758"/>
      <c r="BO407" s="758"/>
      <c r="BS407" s="758"/>
      <c r="BU407" s="758"/>
      <c r="CF407" s="758"/>
      <c r="CH407" s="758"/>
      <c r="CJ407" s="758"/>
      <c r="CL407" s="758"/>
      <c r="CN407" s="758"/>
      <c r="CR407" s="758"/>
      <c r="CT407" s="758"/>
      <c r="CX407" s="758"/>
      <c r="CZ407" s="758"/>
      <c r="DD407" s="758"/>
      <c r="DF407" s="758"/>
      <c r="DJ407" s="758"/>
      <c r="DL407" s="758"/>
      <c r="DP407" s="758"/>
      <c r="DR407" s="758"/>
      <c r="DX407" s="758"/>
      <c r="DZ407" s="758"/>
      <c r="EF407" s="758"/>
      <c r="EH407" s="758"/>
      <c r="EL407" s="758"/>
      <c r="EN407" s="758"/>
      <c r="ER407" s="758"/>
      <c r="ET407" s="758"/>
      <c r="EX407" s="758"/>
      <c r="EZ407" s="758"/>
      <c r="FF407" s="758"/>
      <c r="FH407" s="758"/>
      <c r="FJ407" s="758"/>
      <c r="FL407" s="758"/>
      <c r="FN407" s="758"/>
      <c r="FP407" s="758"/>
      <c r="FR407" s="758"/>
      <c r="FT407" s="758"/>
      <c r="FV407" s="758"/>
      <c r="FX407" s="758"/>
      <c r="FZ407" s="758"/>
      <c r="GB407" s="758"/>
      <c r="GD407" s="758"/>
      <c r="GF407" s="758"/>
      <c r="GH407" s="758"/>
    </row>
    <row r="408" spans="5:190" ht="42" customHeight="1">
      <c r="E408" s="1036" t="s">
        <v>983</v>
      </c>
      <c r="F408" s="1037"/>
      <c r="G408" s="1037"/>
      <c r="H408" s="1038"/>
      <c r="I408" s="788">
        <f>DZ$253</f>
        <v>27377833</v>
      </c>
      <c r="K408" s="758"/>
      <c r="M408" s="758"/>
      <c r="O408" s="758"/>
      <c r="P408" s="758"/>
      <c r="Q408" s="758"/>
      <c r="S408" s="758"/>
      <c r="U408" s="758"/>
      <c r="V408" s="758"/>
      <c r="W408" s="758"/>
      <c r="Y408" s="758"/>
      <c r="AA408" s="758"/>
      <c r="AB408" s="758"/>
      <c r="AC408" s="758"/>
      <c r="AE408" s="758"/>
      <c r="AG408" s="758"/>
      <c r="AH408" s="758"/>
      <c r="AI408" s="758"/>
      <c r="AJ408" s="758"/>
      <c r="AK408" s="758"/>
      <c r="AM408" s="758"/>
      <c r="AO408" s="758"/>
      <c r="AP408" s="758"/>
      <c r="AQ408" s="758"/>
      <c r="AS408" s="758"/>
      <c r="AU408" s="758"/>
      <c r="AV408" s="758"/>
      <c r="AW408" s="758"/>
      <c r="AY408" s="758"/>
      <c r="BA408" s="758"/>
      <c r="BB408" s="758"/>
      <c r="BC408" s="758"/>
      <c r="BE408" s="758"/>
      <c r="BG408" s="758"/>
      <c r="BH408" s="758"/>
      <c r="BI408" s="758"/>
      <c r="BK408" s="758"/>
      <c r="BM408" s="758"/>
      <c r="BN408" s="758"/>
      <c r="BO408" s="758"/>
      <c r="BS408" s="758"/>
      <c r="BU408" s="758"/>
      <c r="CF408" s="758"/>
      <c r="CH408" s="758"/>
      <c r="CJ408" s="758"/>
      <c r="CL408" s="758"/>
      <c r="CN408" s="758"/>
      <c r="CR408" s="758"/>
      <c r="CT408" s="758"/>
      <c r="CX408" s="758"/>
      <c r="CZ408" s="758"/>
      <c r="DD408" s="758"/>
      <c r="DF408" s="758"/>
      <c r="DJ408" s="758"/>
      <c r="DL408" s="758"/>
      <c r="DP408" s="758"/>
      <c r="DR408" s="758"/>
      <c r="DX408" s="758"/>
      <c r="DZ408" s="758"/>
      <c r="EF408" s="758"/>
      <c r="EH408" s="758"/>
      <c r="EL408" s="758"/>
      <c r="EN408" s="758"/>
      <c r="ER408" s="758"/>
      <c r="ET408" s="758"/>
      <c r="EX408" s="758"/>
      <c r="EZ408" s="758"/>
      <c r="FF408" s="758"/>
      <c r="FH408" s="758"/>
      <c r="FJ408" s="758"/>
      <c r="FL408" s="758"/>
      <c r="FN408" s="758"/>
      <c r="FP408" s="758"/>
      <c r="FR408" s="758"/>
      <c r="FT408" s="758"/>
      <c r="FV408" s="758"/>
      <c r="FX408" s="758"/>
      <c r="FZ408" s="758"/>
      <c r="GB408" s="758"/>
      <c r="GD408" s="758"/>
      <c r="GF408" s="758"/>
      <c r="GH408" s="758"/>
    </row>
    <row r="409" spans="5:190">
      <c r="E409" s="1044" t="s">
        <v>1759</v>
      </c>
      <c r="F409" s="1045"/>
      <c r="G409" s="1045"/>
      <c r="H409" s="1046"/>
      <c r="I409" s="1024">
        <f>DV253</f>
        <v>0</v>
      </c>
      <c r="K409" s="758"/>
      <c r="M409" s="758"/>
      <c r="O409" s="758"/>
      <c r="P409" s="758"/>
      <c r="Q409" s="758"/>
      <c r="S409" s="758"/>
      <c r="U409" s="758"/>
      <c r="V409" s="758"/>
      <c r="W409" s="758"/>
      <c r="Y409" s="758"/>
      <c r="AA409" s="758"/>
      <c r="AB409" s="758"/>
      <c r="AC409" s="758"/>
      <c r="AE409" s="758"/>
      <c r="AG409" s="758"/>
      <c r="AH409" s="758"/>
      <c r="AI409" s="758"/>
      <c r="AJ409" s="758"/>
      <c r="AK409" s="758"/>
      <c r="AM409" s="758"/>
      <c r="AO409" s="758"/>
      <c r="AP409" s="758"/>
      <c r="AQ409" s="758"/>
      <c r="AS409" s="758"/>
      <c r="AU409" s="758"/>
      <c r="AV409" s="758"/>
      <c r="AW409" s="758"/>
      <c r="AY409" s="758"/>
      <c r="BA409" s="758"/>
      <c r="BB409" s="758"/>
      <c r="BC409" s="758"/>
      <c r="BE409" s="758"/>
      <c r="BG409" s="758"/>
      <c r="BH409" s="758"/>
      <c r="BI409" s="758"/>
      <c r="BK409" s="758"/>
      <c r="BM409" s="758"/>
      <c r="BN409" s="758"/>
      <c r="BO409" s="758"/>
      <c r="BS409" s="758"/>
      <c r="BU409" s="758"/>
      <c r="CF409" s="758"/>
      <c r="CH409" s="758"/>
      <c r="CJ409" s="758"/>
      <c r="CL409" s="758"/>
      <c r="CN409" s="758"/>
      <c r="CR409" s="758"/>
      <c r="CT409" s="758"/>
      <c r="CX409" s="758"/>
      <c r="CZ409" s="758"/>
      <c r="DD409" s="758"/>
      <c r="DF409" s="758"/>
      <c r="DJ409" s="758"/>
      <c r="DL409" s="758"/>
      <c r="DP409" s="758"/>
      <c r="DR409" s="758"/>
      <c r="DX409" s="758"/>
      <c r="DZ409" s="758"/>
      <c r="EF409" s="758"/>
      <c r="EH409" s="758"/>
      <c r="EL409" s="758"/>
      <c r="EN409" s="758"/>
      <c r="ER409" s="758"/>
      <c r="ET409" s="758"/>
      <c r="EX409" s="758"/>
      <c r="EZ409" s="758"/>
      <c r="FF409" s="758"/>
      <c r="FH409" s="758"/>
      <c r="FJ409" s="758"/>
      <c r="FL409" s="758"/>
      <c r="FN409" s="758"/>
      <c r="FP409" s="758"/>
      <c r="FR409" s="758"/>
      <c r="FT409" s="758"/>
      <c r="FV409" s="758"/>
      <c r="FX409" s="758"/>
      <c r="FZ409" s="758"/>
      <c r="GB409" s="758"/>
      <c r="GD409" s="758"/>
      <c r="GF409" s="758"/>
      <c r="GH409" s="758"/>
    </row>
    <row r="410" spans="5:190" ht="23.25" customHeight="1">
      <c r="E410" s="1036" t="s">
        <v>56</v>
      </c>
      <c r="F410" s="1037"/>
      <c r="G410" s="1037"/>
      <c r="H410" s="1038"/>
      <c r="I410" s="788">
        <f>EH$253</f>
        <v>201664882</v>
      </c>
      <c r="K410" s="758"/>
      <c r="M410" s="758"/>
      <c r="O410" s="758"/>
      <c r="P410" s="758"/>
      <c r="Q410" s="758"/>
      <c r="S410" s="758"/>
      <c r="U410" s="758"/>
      <c r="V410" s="758"/>
      <c r="W410" s="758"/>
      <c r="Y410" s="758"/>
      <c r="AA410" s="758"/>
      <c r="AB410" s="758"/>
      <c r="AC410" s="758"/>
      <c r="AE410" s="758"/>
      <c r="AG410" s="758"/>
      <c r="AH410" s="758"/>
      <c r="AI410" s="758"/>
      <c r="AJ410" s="758"/>
      <c r="AK410" s="758"/>
      <c r="AM410" s="758"/>
      <c r="AO410" s="758"/>
      <c r="AP410" s="758"/>
      <c r="AQ410" s="758"/>
      <c r="AS410" s="758"/>
      <c r="AU410" s="758"/>
      <c r="AV410" s="758"/>
      <c r="AW410" s="758"/>
      <c r="AY410" s="758"/>
      <c r="BA410" s="758"/>
      <c r="BB410" s="758"/>
      <c r="BC410" s="758"/>
      <c r="BE410" s="758"/>
      <c r="BG410" s="758"/>
      <c r="BH410" s="758"/>
      <c r="BI410" s="758"/>
      <c r="BK410" s="758"/>
      <c r="BM410" s="758"/>
      <c r="BN410" s="758"/>
      <c r="BO410" s="758"/>
      <c r="BS410" s="758"/>
      <c r="BU410" s="758"/>
      <c r="CF410" s="758"/>
      <c r="CH410" s="758"/>
      <c r="CJ410" s="758"/>
      <c r="CL410" s="758"/>
      <c r="CN410" s="758"/>
      <c r="CR410" s="758"/>
      <c r="CT410" s="758"/>
      <c r="CX410" s="758"/>
      <c r="CZ410" s="758"/>
      <c r="DD410" s="758"/>
      <c r="DF410" s="758"/>
      <c r="DJ410" s="758"/>
      <c r="DL410" s="758"/>
      <c r="DP410" s="758"/>
      <c r="DR410" s="758"/>
      <c r="DX410" s="758"/>
      <c r="DZ410" s="758"/>
      <c r="EF410" s="758"/>
      <c r="EH410" s="758"/>
      <c r="EL410" s="758"/>
      <c r="EN410" s="758"/>
      <c r="ER410" s="758"/>
      <c r="ET410" s="758"/>
      <c r="EX410" s="758"/>
      <c r="EZ410" s="758"/>
      <c r="FF410" s="758"/>
      <c r="FH410" s="758"/>
      <c r="FJ410" s="758"/>
      <c r="FL410" s="758"/>
      <c r="FN410" s="758"/>
      <c r="FP410" s="758"/>
      <c r="FR410" s="758"/>
      <c r="FT410" s="758"/>
      <c r="FV410" s="758"/>
      <c r="FX410" s="758"/>
      <c r="FZ410" s="758"/>
      <c r="GB410" s="758"/>
      <c r="GD410" s="758"/>
      <c r="GF410" s="758"/>
      <c r="GH410" s="758"/>
    </row>
    <row r="411" spans="5:190">
      <c r="E411" s="1044" t="s">
        <v>1760</v>
      </c>
      <c r="F411" s="1047"/>
      <c r="G411" s="1047"/>
      <c r="H411" s="1048"/>
      <c r="I411" s="1024">
        <f>ED253</f>
        <v>0</v>
      </c>
      <c r="K411" s="758"/>
      <c r="M411" s="758"/>
      <c r="O411" s="758"/>
      <c r="P411" s="758"/>
      <c r="Q411" s="758"/>
      <c r="S411" s="758"/>
      <c r="U411" s="758"/>
      <c r="V411" s="758"/>
      <c r="W411" s="758"/>
      <c r="Y411" s="758"/>
      <c r="AA411" s="758"/>
      <c r="AB411" s="758"/>
      <c r="AC411" s="758"/>
      <c r="AE411" s="758"/>
      <c r="AG411" s="758"/>
      <c r="AH411" s="758"/>
      <c r="AI411" s="758"/>
      <c r="AJ411" s="758"/>
      <c r="AK411" s="758"/>
      <c r="AM411" s="758"/>
      <c r="AO411" s="758"/>
      <c r="AP411" s="758"/>
      <c r="AQ411" s="758"/>
      <c r="AS411" s="758"/>
      <c r="AU411" s="758"/>
      <c r="AV411" s="758"/>
      <c r="AW411" s="758"/>
      <c r="AY411" s="758"/>
      <c r="BA411" s="758"/>
      <c r="BB411" s="758"/>
      <c r="BC411" s="758"/>
      <c r="BE411" s="758"/>
      <c r="BG411" s="758"/>
      <c r="BH411" s="758"/>
      <c r="BI411" s="758"/>
      <c r="BK411" s="758"/>
      <c r="BM411" s="758"/>
      <c r="BN411" s="758"/>
      <c r="BO411" s="758"/>
      <c r="BS411" s="758"/>
      <c r="BU411" s="758"/>
      <c r="CF411" s="758"/>
      <c r="CH411" s="758"/>
      <c r="CJ411" s="758"/>
      <c r="CL411" s="758"/>
      <c r="CN411" s="758"/>
      <c r="CR411" s="758"/>
      <c r="CT411" s="758"/>
      <c r="CX411" s="758"/>
      <c r="CZ411" s="758"/>
      <c r="DD411" s="758"/>
      <c r="DF411" s="758"/>
      <c r="DJ411" s="758"/>
      <c r="DL411" s="758"/>
      <c r="DP411" s="758"/>
      <c r="DR411" s="758"/>
      <c r="DX411" s="758"/>
      <c r="DZ411" s="758"/>
      <c r="EF411" s="758"/>
      <c r="EH411" s="758"/>
      <c r="EL411" s="758"/>
      <c r="EN411" s="758"/>
      <c r="ER411" s="758"/>
      <c r="ET411" s="758"/>
      <c r="EX411" s="758"/>
      <c r="EZ411" s="758"/>
      <c r="FF411" s="758"/>
      <c r="FH411" s="758"/>
      <c r="FJ411" s="758"/>
      <c r="FL411" s="758"/>
      <c r="FN411" s="758"/>
      <c r="FP411" s="758"/>
      <c r="FR411" s="758"/>
      <c r="FT411" s="758"/>
      <c r="FV411" s="758"/>
      <c r="FX411" s="758"/>
      <c r="FZ411" s="758"/>
      <c r="GB411" s="758"/>
      <c r="GD411" s="758"/>
      <c r="GF411" s="758"/>
      <c r="GH411" s="758"/>
    </row>
    <row r="412" spans="5:190">
      <c r="E412" s="1036" t="s">
        <v>57</v>
      </c>
      <c r="F412" s="1037"/>
      <c r="G412" s="1037"/>
      <c r="H412" s="1038"/>
      <c r="I412" s="788">
        <f>EN$253</f>
        <v>2215607796</v>
      </c>
      <c r="K412" s="758"/>
      <c r="M412" s="758"/>
      <c r="O412" s="758"/>
      <c r="P412" s="758"/>
      <c r="Q412" s="758"/>
      <c r="S412" s="758"/>
      <c r="U412" s="758"/>
      <c r="V412" s="758"/>
      <c r="W412" s="758"/>
      <c r="Y412" s="758"/>
      <c r="AA412" s="758"/>
      <c r="AB412" s="758"/>
      <c r="AC412" s="758"/>
      <c r="AE412" s="758"/>
      <c r="AG412" s="758"/>
      <c r="AH412" s="758"/>
      <c r="AI412" s="758"/>
      <c r="AJ412" s="758"/>
      <c r="AK412" s="758"/>
      <c r="AM412" s="758"/>
      <c r="AO412" s="758"/>
      <c r="AP412" s="758"/>
      <c r="AQ412" s="758"/>
      <c r="AS412" s="758"/>
      <c r="AU412" s="758"/>
      <c r="AV412" s="758"/>
      <c r="AW412" s="758"/>
      <c r="AY412" s="758"/>
      <c r="BA412" s="758"/>
      <c r="BB412" s="758"/>
      <c r="BC412" s="758"/>
      <c r="BE412" s="758"/>
      <c r="BG412" s="758"/>
      <c r="BH412" s="758"/>
      <c r="BI412" s="758"/>
      <c r="BK412" s="758"/>
      <c r="BM412" s="758"/>
      <c r="BN412" s="758"/>
      <c r="BO412" s="758"/>
      <c r="BS412" s="758"/>
      <c r="BU412" s="758"/>
      <c r="CF412" s="758"/>
      <c r="CH412" s="758"/>
      <c r="CJ412" s="758"/>
      <c r="CL412" s="758"/>
      <c r="CN412" s="758"/>
      <c r="CR412" s="758"/>
      <c r="CT412" s="758"/>
      <c r="CX412" s="758"/>
      <c r="CZ412" s="758"/>
      <c r="DD412" s="758"/>
      <c r="DF412" s="758"/>
      <c r="DJ412" s="758"/>
      <c r="DL412" s="758"/>
      <c r="DP412" s="758"/>
      <c r="DR412" s="758"/>
      <c r="DX412" s="758"/>
      <c r="DZ412" s="758"/>
      <c r="EF412" s="758"/>
      <c r="EH412" s="758"/>
      <c r="EL412" s="758"/>
      <c r="EN412" s="758"/>
      <c r="ER412" s="758"/>
      <c r="ET412" s="758"/>
      <c r="EX412" s="758"/>
      <c r="EZ412" s="758"/>
      <c r="FF412" s="758"/>
      <c r="FH412" s="758"/>
      <c r="FJ412" s="758"/>
      <c r="FL412" s="758"/>
      <c r="FN412" s="758"/>
      <c r="FP412" s="758"/>
      <c r="FR412" s="758"/>
      <c r="FT412" s="758"/>
      <c r="FV412" s="758"/>
      <c r="FX412" s="758"/>
      <c r="FZ412" s="758"/>
      <c r="GB412" s="758"/>
      <c r="GD412" s="758"/>
      <c r="GF412" s="758"/>
      <c r="GH412" s="758"/>
    </row>
    <row r="413" spans="5:190">
      <c r="E413" s="1036" t="s">
        <v>700</v>
      </c>
      <c r="F413" s="1037"/>
      <c r="G413" s="1037"/>
      <c r="H413" s="1038"/>
      <c r="I413" s="788">
        <f>ET$253</f>
        <v>3785147296</v>
      </c>
      <c r="K413" s="758"/>
      <c r="M413" s="758"/>
      <c r="O413" s="758"/>
      <c r="P413" s="758"/>
      <c r="Q413" s="758"/>
      <c r="S413" s="758"/>
      <c r="U413" s="758"/>
      <c r="V413" s="758"/>
      <c r="W413" s="758"/>
      <c r="Y413" s="758"/>
      <c r="AA413" s="758"/>
      <c r="AB413" s="758"/>
      <c r="AC413" s="758"/>
      <c r="AE413" s="758"/>
      <c r="AG413" s="758"/>
      <c r="AH413" s="758"/>
      <c r="AI413" s="758"/>
      <c r="AJ413" s="758"/>
      <c r="AK413" s="758"/>
      <c r="AM413" s="758"/>
      <c r="AO413" s="758"/>
      <c r="AP413" s="758"/>
      <c r="AQ413" s="758"/>
      <c r="AS413" s="758"/>
      <c r="AU413" s="758"/>
      <c r="AV413" s="758"/>
      <c r="AW413" s="758"/>
      <c r="AY413" s="758"/>
      <c r="BA413" s="758"/>
      <c r="BB413" s="758"/>
      <c r="BC413" s="758"/>
      <c r="BE413" s="758"/>
      <c r="BG413" s="758"/>
      <c r="BH413" s="758"/>
      <c r="BI413" s="758"/>
      <c r="BK413" s="758"/>
      <c r="BM413" s="758"/>
      <c r="BN413" s="758"/>
      <c r="BO413" s="758"/>
      <c r="BS413" s="758"/>
      <c r="BU413" s="758"/>
      <c r="CF413" s="758"/>
      <c r="CH413" s="758"/>
      <c r="CJ413" s="758"/>
      <c r="CL413" s="758"/>
      <c r="CN413" s="758"/>
      <c r="CR413" s="758"/>
      <c r="CT413" s="758"/>
      <c r="CX413" s="758"/>
      <c r="CZ413" s="758"/>
      <c r="DD413" s="758"/>
      <c r="DF413" s="758"/>
      <c r="DJ413" s="758"/>
      <c r="DL413" s="758"/>
      <c r="DP413" s="758"/>
      <c r="DR413" s="758"/>
      <c r="DX413" s="758"/>
      <c r="DZ413" s="758"/>
      <c r="EF413" s="758"/>
      <c r="EH413" s="758"/>
      <c r="EL413" s="758"/>
      <c r="EN413" s="758"/>
      <c r="ER413" s="758"/>
      <c r="ET413" s="758"/>
      <c r="EX413" s="758"/>
      <c r="EZ413" s="758"/>
      <c r="FF413" s="758"/>
      <c r="FH413" s="758"/>
      <c r="FJ413" s="758"/>
      <c r="FL413" s="758"/>
      <c r="FN413" s="758"/>
      <c r="FP413" s="758"/>
      <c r="FR413" s="758"/>
      <c r="FT413" s="758"/>
      <c r="FV413" s="758"/>
      <c r="FX413" s="758"/>
      <c r="FZ413" s="758"/>
      <c r="GB413" s="758"/>
      <c r="GD413" s="758"/>
      <c r="GF413" s="758"/>
      <c r="GH413" s="758"/>
    </row>
    <row r="414" spans="5:190">
      <c r="E414" s="1036" t="s">
        <v>945</v>
      </c>
      <c r="F414" s="1037"/>
      <c r="G414" s="1037"/>
      <c r="H414" s="1038"/>
      <c r="I414" s="788">
        <f>EZ$253</f>
        <v>1452558394</v>
      </c>
      <c r="K414" s="758"/>
      <c r="M414" s="758"/>
      <c r="O414" s="758"/>
      <c r="P414" s="758"/>
      <c r="Q414" s="758"/>
      <c r="S414" s="758"/>
      <c r="U414" s="758"/>
      <c r="V414" s="758"/>
      <c r="W414" s="758"/>
      <c r="Y414" s="758"/>
      <c r="AA414" s="758"/>
      <c r="AB414" s="758"/>
      <c r="AC414" s="758"/>
      <c r="AE414" s="758"/>
      <c r="AG414" s="758"/>
      <c r="AH414" s="758"/>
      <c r="AI414" s="758"/>
      <c r="AJ414" s="758"/>
      <c r="AK414" s="758"/>
      <c r="AM414" s="758"/>
      <c r="AO414" s="758"/>
      <c r="AP414" s="758"/>
      <c r="AQ414" s="758"/>
      <c r="AS414" s="758"/>
      <c r="AU414" s="758"/>
      <c r="AV414" s="758"/>
      <c r="AW414" s="758"/>
      <c r="AY414" s="758"/>
      <c r="BA414" s="758"/>
      <c r="BB414" s="758"/>
      <c r="BC414" s="758"/>
      <c r="BE414" s="758"/>
      <c r="BG414" s="758"/>
      <c r="BH414" s="758"/>
      <c r="BI414" s="758"/>
      <c r="BK414" s="758"/>
      <c r="BM414" s="758"/>
      <c r="BN414" s="758"/>
      <c r="BO414" s="758"/>
      <c r="BS414" s="758"/>
      <c r="BU414" s="758"/>
      <c r="CF414" s="758"/>
      <c r="CH414" s="758"/>
      <c r="CJ414" s="758"/>
      <c r="CL414" s="758"/>
      <c r="CN414" s="758"/>
      <c r="CR414" s="758"/>
      <c r="CT414" s="758"/>
      <c r="CX414" s="758"/>
      <c r="CZ414" s="758"/>
      <c r="DD414" s="758"/>
      <c r="DF414" s="758"/>
      <c r="DJ414" s="758"/>
      <c r="DL414" s="758"/>
      <c r="DP414" s="758"/>
      <c r="DR414" s="758"/>
      <c r="DX414" s="758"/>
      <c r="DZ414" s="758"/>
      <c r="EF414" s="758"/>
      <c r="EH414" s="758"/>
      <c r="EL414" s="758"/>
      <c r="EN414" s="758"/>
      <c r="ER414" s="758"/>
      <c r="ET414" s="758"/>
      <c r="EX414" s="758"/>
      <c r="EZ414" s="758"/>
      <c r="FF414" s="758"/>
      <c r="FH414" s="758"/>
      <c r="FJ414" s="758"/>
      <c r="FL414" s="758"/>
      <c r="FN414" s="758"/>
      <c r="FP414" s="758"/>
      <c r="FR414" s="758"/>
      <c r="FT414" s="758"/>
      <c r="FV414" s="758"/>
      <c r="FX414" s="758"/>
      <c r="FZ414" s="758"/>
      <c r="GB414" s="758"/>
      <c r="GD414" s="758"/>
      <c r="GF414" s="758"/>
      <c r="GH414" s="758"/>
    </row>
    <row r="415" spans="5:190">
      <c r="E415" s="1036" t="s">
        <v>702</v>
      </c>
      <c r="F415" s="1037"/>
      <c r="G415" s="1037"/>
      <c r="H415" s="1038"/>
      <c r="I415" s="788">
        <f>FJ$253</f>
        <v>47263761</v>
      </c>
      <c r="K415" s="758"/>
      <c r="M415" s="758"/>
      <c r="O415" s="758"/>
      <c r="P415" s="758"/>
      <c r="Q415" s="758"/>
      <c r="S415" s="758"/>
      <c r="U415" s="758"/>
      <c r="V415" s="758"/>
      <c r="W415" s="758"/>
      <c r="Y415" s="758"/>
      <c r="AA415" s="758"/>
      <c r="AB415" s="758"/>
      <c r="AC415" s="758"/>
      <c r="AE415" s="758"/>
      <c r="AG415" s="758"/>
      <c r="AH415" s="758"/>
      <c r="AI415" s="758"/>
      <c r="AJ415" s="758"/>
      <c r="AK415" s="758"/>
      <c r="AM415" s="758"/>
      <c r="AO415" s="758"/>
      <c r="AP415" s="758"/>
      <c r="AQ415" s="758"/>
      <c r="AS415" s="758"/>
      <c r="AU415" s="758"/>
      <c r="AV415" s="758"/>
      <c r="AW415" s="758"/>
      <c r="AY415" s="758"/>
      <c r="BA415" s="758"/>
      <c r="BB415" s="758"/>
      <c r="BC415" s="758"/>
      <c r="BE415" s="758"/>
      <c r="BG415" s="758"/>
      <c r="BH415" s="758"/>
      <c r="BI415" s="758"/>
      <c r="BK415" s="758"/>
      <c r="BM415" s="758"/>
      <c r="BN415" s="758"/>
      <c r="BO415" s="758"/>
      <c r="BS415" s="758"/>
      <c r="BU415" s="758"/>
      <c r="CF415" s="758"/>
      <c r="CH415" s="758"/>
      <c r="CJ415" s="758"/>
      <c r="CL415" s="758"/>
      <c r="CN415" s="758"/>
      <c r="CR415" s="758"/>
      <c r="CT415" s="758"/>
      <c r="CX415" s="758"/>
      <c r="CZ415" s="758"/>
      <c r="DD415" s="758"/>
      <c r="DF415" s="758"/>
      <c r="DJ415" s="758"/>
      <c r="DL415" s="758"/>
      <c r="DP415" s="758"/>
      <c r="DR415" s="758"/>
      <c r="DX415" s="758"/>
      <c r="DZ415" s="758"/>
      <c r="EF415" s="758"/>
      <c r="EH415" s="758"/>
      <c r="EL415" s="758"/>
      <c r="EN415" s="758"/>
      <c r="ER415" s="758"/>
      <c r="ET415" s="758"/>
      <c r="EX415" s="758"/>
      <c r="EZ415" s="758"/>
      <c r="FF415" s="758"/>
      <c r="FH415" s="758"/>
      <c r="FJ415" s="758"/>
      <c r="FL415" s="758"/>
      <c r="FN415" s="758"/>
      <c r="FP415" s="758"/>
      <c r="FR415" s="758"/>
      <c r="FT415" s="758"/>
      <c r="FV415" s="758"/>
      <c r="FX415" s="758"/>
      <c r="FZ415" s="758"/>
      <c r="GB415" s="758"/>
      <c r="GD415" s="758"/>
      <c r="GF415" s="758"/>
      <c r="GH415" s="758"/>
    </row>
    <row r="416" spans="5:190" ht="11.25" customHeight="1">
      <c r="E416" s="1039" t="s">
        <v>1364</v>
      </c>
      <c r="F416" s="1040"/>
      <c r="G416" s="1040"/>
      <c r="H416" s="1040"/>
      <c r="I416" s="788">
        <f>FP$253</f>
        <v>72422085</v>
      </c>
      <c r="K416" s="758"/>
      <c r="M416" s="758"/>
      <c r="O416" s="758"/>
      <c r="P416" s="758"/>
      <c r="Q416" s="758"/>
      <c r="S416" s="758"/>
      <c r="U416" s="758"/>
      <c r="V416" s="758"/>
      <c r="W416" s="758"/>
      <c r="Y416" s="758"/>
      <c r="AA416" s="758"/>
      <c r="AB416" s="758"/>
      <c r="AC416" s="758"/>
      <c r="AE416" s="758"/>
      <c r="AG416" s="758"/>
      <c r="AH416" s="758"/>
      <c r="AI416" s="758"/>
      <c r="AJ416" s="758"/>
      <c r="AK416" s="758"/>
      <c r="AM416" s="758"/>
      <c r="AO416" s="758"/>
      <c r="AP416" s="758"/>
      <c r="AQ416" s="758"/>
      <c r="AS416" s="758"/>
      <c r="AU416" s="758"/>
      <c r="AV416" s="758"/>
      <c r="AW416" s="758"/>
      <c r="AY416" s="758"/>
      <c r="BA416" s="758"/>
      <c r="BB416" s="758"/>
      <c r="BC416" s="758"/>
      <c r="BE416" s="758"/>
      <c r="BG416" s="758"/>
      <c r="BH416" s="758"/>
      <c r="BI416" s="758"/>
      <c r="BK416" s="758"/>
      <c r="BM416" s="758"/>
      <c r="BN416" s="758"/>
      <c r="BO416" s="758"/>
      <c r="BS416" s="758"/>
      <c r="BU416" s="758"/>
      <c r="CF416" s="758"/>
      <c r="CH416" s="758"/>
      <c r="CJ416" s="758"/>
      <c r="CL416" s="758"/>
      <c r="CN416" s="758"/>
      <c r="CR416" s="758"/>
      <c r="CT416" s="758"/>
      <c r="CX416" s="758"/>
      <c r="CZ416" s="758"/>
      <c r="DD416" s="758"/>
      <c r="DF416" s="758"/>
      <c r="DJ416" s="758"/>
      <c r="DL416" s="758"/>
      <c r="DP416" s="758"/>
      <c r="DR416" s="758"/>
      <c r="DX416" s="758"/>
      <c r="DZ416" s="758"/>
      <c r="EF416" s="758"/>
      <c r="EH416" s="758"/>
      <c r="EL416" s="758"/>
      <c r="EN416" s="758"/>
      <c r="ER416" s="758"/>
      <c r="ET416" s="758"/>
      <c r="EX416" s="758"/>
      <c r="EZ416" s="758"/>
      <c r="FF416" s="758"/>
      <c r="FH416" s="758"/>
      <c r="FJ416" s="758"/>
      <c r="FL416" s="758"/>
      <c r="FN416" s="758"/>
      <c r="FP416" s="758"/>
      <c r="FR416" s="758"/>
      <c r="FT416" s="758"/>
      <c r="FV416" s="758"/>
      <c r="FX416" s="758"/>
      <c r="FZ416" s="758"/>
      <c r="GB416" s="758"/>
      <c r="GD416" s="758"/>
      <c r="GF416" s="758"/>
      <c r="GH416" s="758"/>
    </row>
    <row r="417" spans="5:190" ht="11.25" customHeight="1">
      <c r="E417" s="1039" t="s">
        <v>1370</v>
      </c>
      <c r="F417" s="1040"/>
      <c r="G417" s="1040"/>
      <c r="H417" s="1040"/>
      <c r="I417" s="788">
        <f>FV$253</f>
        <v>1241903345</v>
      </c>
      <c r="K417" s="758"/>
      <c r="M417" s="758"/>
      <c r="O417" s="758"/>
      <c r="P417" s="758"/>
      <c r="Q417" s="758"/>
      <c r="S417" s="758"/>
      <c r="U417" s="758"/>
      <c r="V417" s="758"/>
      <c r="W417" s="758"/>
      <c r="Y417" s="758"/>
      <c r="AA417" s="758"/>
      <c r="AB417" s="758"/>
      <c r="AC417" s="758"/>
      <c r="AE417" s="758"/>
      <c r="AG417" s="758"/>
      <c r="AH417" s="758"/>
      <c r="AI417" s="758"/>
      <c r="AJ417" s="758"/>
      <c r="AK417" s="758"/>
      <c r="AM417" s="758"/>
      <c r="AO417" s="758"/>
      <c r="AP417" s="758"/>
      <c r="AQ417" s="758"/>
      <c r="AS417" s="758"/>
      <c r="AU417" s="758"/>
      <c r="AV417" s="758"/>
      <c r="AW417" s="758"/>
      <c r="AY417" s="758"/>
      <c r="BA417" s="758"/>
      <c r="BB417" s="758"/>
      <c r="BC417" s="758"/>
      <c r="BE417" s="758"/>
      <c r="BG417" s="758"/>
      <c r="BH417" s="758"/>
      <c r="BI417" s="758"/>
      <c r="BK417" s="758"/>
      <c r="BM417" s="758"/>
      <c r="BN417" s="758"/>
      <c r="BO417" s="758"/>
      <c r="BS417" s="758"/>
      <c r="BU417" s="758"/>
      <c r="CF417" s="758"/>
      <c r="CH417" s="758"/>
      <c r="CJ417" s="758"/>
      <c r="CL417" s="758"/>
      <c r="CN417" s="758"/>
      <c r="CR417" s="758"/>
      <c r="CT417" s="758"/>
      <c r="CX417" s="758"/>
      <c r="CZ417" s="758"/>
      <c r="DD417" s="758"/>
      <c r="DF417" s="758"/>
      <c r="DJ417" s="758"/>
      <c r="DL417" s="758"/>
      <c r="DP417" s="758"/>
      <c r="DR417" s="758"/>
      <c r="DX417" s="758"/>
      <c r="DZ417" s="758"/>
      <c r="EF417" s="758"/>
      <c r="EH417" s="758"/>
      <c r="EL417" s="758"/>
      <c r="EN417" s="758"/>
      <c r="ER417" s="758"/>
      <c r="ET417" s="758"/>
      <c r="EX417" s="758"/>
      <c r="EZ417" s="758"/>
      <c r="FF417" s="758"/>
      <c r="FH417" s="758"/>
      <c r="FJ417" s="758"/>
      <c r="FL417" s="758"/>
      <c r="FN417" s="758"/>
      <c r="FP417" s="758"/>
      <c r="FR417" s="758"/>
      <c r="FT417" s="758"/>
      <c r="FV417" s="758"/>
      <c r="FX417" s="758"/>
      <c r="FZ417" s="758"/>
      <c r="GB417" s="758"/>
      <c r="GD417" s="758"/>
      <c r="GF417" s="758"/>
      <c r="GH417" s="758"/>
    </row>
    <row r="418" spans="5:190">
      <c r="E418" s="1041" t="s">
        <v>1719</v>
      </c>
      <c r="F418" s="1042"/>
      <c r="G418" s="1042"/>
      <c r="H418" s="1043"/>
      <c r="I418" s="788">
        <f>GB$253</f>
        <v>270953921</v>
      </c>
      <c r="K418" s="758"/>
      <c r="M418" s="758"/>
      <c r="O418" s="758"/>
      <c r="P418" s="758"/>
      <c r="Q418" s="758"/>
      <c r="S418" s="758"/>
      <c r="U418" s="758"/>
      <c r="V418" s="758"/>
      <c r="W418" s="758"/>
      <c r="Y418" s="758"/>
      <c r="AA418" s="758"/>
      <c r="AB418" s="758"/>
      <c r="AC418" s="758"/>
      <c r="AE418" s="758"/>
      <c r="AG418" s="758"/>
      <c r="AH418" s="758"/>
      <c r="AI418" s="758"/>
      <c r="AJ418" s="758"/>
      <c r="AK418" s="758"/>
      <c r="AM418" s="758"/>
      <c r="AO418" s="758"/>
      <c r="AP418" s="758"/>
      <c r="AQ418" s="758"/>
      <c r="AS418" s="758"/>
      <c r="AU418" s="758"/>
      <c r="AV418" s="758"/>
      <c r="AW418" s="758"/>
      <c r="AY418" s="758"/>
      <c r="BA418" s="758"/>
      <c r="BB418" s="758"/>
      <c r="BC418" s="758"/>
      <c r="BE418" s="758"/>
      <c r="BG418" s="758"/>
      <c r="BH418" s="758"/>
      <c r="BI418" s="758"/>
      <c r="BK418" s="758"/>
      <c r="BM418" s="758"/>
      <c r="BN418" s="758"/>
      <c r="BO418" s="758"/>
      <c r="BS418" s="758"/>
      <c r="BU418" s="758"/>
      <c r="CF418" s="758"/>
      <c r="CH418" s="758"/>
      <c r="CJ418" s="758"/>
      <c r="CL418" s="758"/>
      <c r="CN418" s="758"/>
      <c r="CR418" s="758"/>
      <c r="CT418" s="758"/>
      <c r="CX418" s="758"/>
      <c r="CZ418" s="758"/>
      <c r="DD418" s="758"/>
      <c r="DF418" s="758"/>
      <c r="DJ418" s="758"/>
      <c r="DL418" s="758"/>
      <c r="DP418" s="758"/>
      <c r="DR418" s="758"/>
      <c r="DX418" s="758"/>
      <c r="DZ418" s="758"/>
      <c r="EF418" s="758"/>
      <c r="EH418" s="758"/>
      <c r="EL418" s="758"/>
      <c r="EN418" s="758"/>
      <c r="ER418" s="758"/>
      <c r="ET418" s="758"/>
      <c r="EX418" s="758"/>
      <c r="EZ418" s="758"/>
      <c r="FF418" s="758"/>
      <c r="FH418" s="758"/>
      <c r="FJ418" s="758"/>
      <c r="FL418" s="758"/>
      <c r="FN418" s="758"/>
      <c r="FP418" s="758"/>
      <c r="FR418" s="758"/>
      <c r="FT418" s="758"/>
      <c r="FV418" s="758"/>
      <c r="FX418" s="758"/>
      <c r="FZ418" s="758"/>
      <c r="GB418" s="758"/>
      <c r="GD418" s="758"/>
      <c r="GF418" s="758"/>
      <c r="GH418" s="758"/>
    </row>
    <row r="419" spans="5:190">
      <c r="E419" s="1011"/>
      <c r="F419" s="1025"/>
      <c r="G419" s="1034" t="s">
        <v>1767</v>
      </c>
      <c r="H419" s="1035"/>
      <c r="I419" s="1026">
        <f>FD253</f>
        <v>0</v>
      </c>
      <c r="K419" s="758"/>
      <c r="M419" s="758"/>
      <c r="O419" s="758"/>
      <c r="P419" s="758"/>
      <c r="Q419" s="758"/>
      <c r="S419" s="758"/>
      <c r="U419" s="758"/>
      <c r="V419" s="758"/>
      <c r="W419" s="758"/>
      <c r="Y419" s="758"/>
      <c r="AA419" s="758"/>
      <c r="AB419" s="758"/>
      <c r="AC419" s="758"/>
      <c r="AE419" s="758"/>
      <c r="AG419" s="758"/>
      <c r="AH419" s="758"/>
      <c r="AI419" s="758"/>
      <c r="AJ419" s="758"/>
      <c r="AK419" s="758"/>
      <c r="AM419" s="758"/>
      <c r="AO419" s="758"/>
      <c r="AP419" s="758"/>
      <c r="AQ419" s="758"/>
      <c r="AS419" s="758"/>
      <c r="AU419" s="758"/>
      <c r="AV419" s="758"/>
      <c r="AW419" s="758"/>
      <c r="AY419" s="758"/>
      <c r="BA419" s="758"/>
      <c r="BB419" s="758"/>
      <c r="BC419" s="758"/>
      <c r="BE419" s="758"/>
      <c r="BG419" s="758"/>
      <c r="BH419" s="758"/>
      <c r="BI419" s="758"/>
      <c r="BK419" s="758"/>
      <c r="BM419" s="758"/>
      <c r="BN419" s="758"/>
      <c r="BO419" s="758"/>
      <c r="BS419" s="758"/>
      <c r="BU419" s="758"/>
      <c r="CF419" s="758"/>
      <c r="CH419" s="758"/>
      <c r="CJ419" s="758"/>
      <c r="CL419" s="758"/>
      <c r="CN419" s="758"/>
      <c r="CR419" s="758"/>
      <c r="CT419" s="758"/>
      <c r="CX419" s="758"/>
      <c r="CZ419" s="758"/>
      <c r="DD419" s="758"/>
      <c r="DF419" s="758"/>
      <c r="DJ419" s="758"/>
      <c r="DL419" s="758"/>
      <c r="DP419" s="758"/>
      <c r="DR419" s="758"/>
      <c r="DX419" s="758"/>
      <c r="DZ419" s="758"/>
      <c r="EF419" s="758"/>
      <c r="EH419" s="758"/>
      <c r="EL419" s="758"/>
      <c r="EN419" s="758"/>
      <c r="ER419" s="758"/>
      <c r="ET419" s="758"/>
      <c r="EX419" s="758"/>
      <c r="EZ419" s="758"/>
      <c r="FF419" s="758"/>
      <c r="FH419" s="758"/>
      <c r="FJ419" s="758"/>
      <c r="FL419" s="758"/>
      <c r="FN419" s="758"/>
      <c r="FP419" s="758"/>
      <c r="FR419" s="758"/>
      <c r="FT419" s="758"/>
      <c r="FV419" s="758"/>
      <c r="FX419" s="758"/>
      <c r="FZ419" s="758"/>
      <c r="GB419" s="758"/>
      <c r="GD419" s="758"/>
      <c r="GF419" s="758"/>
      <c r="GH419" s="758"/>
    </row>
    <row r="420" spans="5:190">
      <c r="I420" s="761">
        <f>SUM(I386:I419)</f>
        <v>11116171116</v>
      </c>
      <c r="K420" s="758"/>
      <c r="M420" s="758"/>
      <c r="O420" s="758"/>
      <c r="P420" s="758"/>
      <c r="Q420" s="758"/>
      <c r="S420" s="758"/>
      <c r="U420" s="758"/>
      <c r="V420" s="758"/>
      <c r="W420" s="758"/>
      <c r="Y420" s="758"/>
      <c r="AA420" s="758"/>
      <c r="AB420" s="758"/>
      <c r="AC420" s="758"/>
      <c r="AE420" s="758"/>
      <c r="AG420" s="758"/>
      <c r="AH420" s="758"/>
      <c r="AI420" s="758"/>
      <c r="AJ420" s="758"/>
      <c r="AK420" s="758"/>
      <c r="AM420" s="758"/>
      <c r="AO420" s="758"/>
      <c r="AP420" s="758"/>
      <c r="AQ420" s="758"/>
      <c r="AS420" s="758"/>
      <c r="AU420" s="758"/>
      <c r="AV420" s="758"/>
      <c r="AW420" s="758"/>
      <c r="AY420" s="758"/>
      <c r="BA420" s="758"/>
      <c r="BB420" s="758"/>
      <c r="BC420" s="758"/>
      <c r="BE420" s="758"/>
      <c r="BG420" s="758"/>
      <c r="BH420" s="758"/>
      <c r="BI420" s="758"/>
      <c r="BK420" s="758"/>
      <c r="BM420" s="758"/>
      <c r="BN420" s="758"/>
      <c r="BO420" s="758"/>
      <c r="BS420" s="758"/>
      <c r="BU420" s="758"/>
      <c r="CF420" s="758"/>
      <c r="CH420" s="758"/>
      <c r="CJ420" s="758"/>
      <c r="CL420" s="758"/>
      <c r="CN420" s="758"/>
      <c r="CR420" s="758"/>
      <c r="CT420" s="758"/>
      <c r="CX420" s="758"/>
      <c r="CZ420" s="758"/>
      <c r="DD420" s="758"/>
      <c r="DF420" s="758"/>
      <c r="DJ420" s="758"/>
      <c r="DL420" s="758"/>
      <c r="DP420" s="758"/>
      <c r="DR420" s="758"/>
      <c r="DX420" s="758"/>
      <c r="DZ420" s="758"/>
      <c r="EF420" s="758"/>
      <c r="EH420" s="758"/>
      <c r="EL420" s="758"/>
      <c r="EN420" s="758"/>
      <c r="ER420" s="758"/>
      <c r="ET420" s="758"/>
      <c r="EX420" s="758"/>
      <c r="EZ420" s="758"/>
      <c r="FF420" s="758"/>
      <c r="FH420" s="758"/>
      <c r="FJ420" s="758"/>
      <c r="FL420" s="758"/>
      <c r="FN420" s="758"/>
      <c r="FP420" s="758"/>
      <c r="FR420" s="758"/>
      <c r="FT420" s="758"/>
      <c r="FV420" s="758"/>
      <c r="FX420" s="758"/>
      <c r="FZ420" s="758"/>
      <c r="GB420" s="758"/>
      <c r="GD420" s="758"/>
      <c r="GF420" s="758"/>
      <c r="GH420" s="758"/>
    </row>
    <row r="421" spans="5:190">
      <c r="H421" s="758" t="s">
        <v>1769</v>
      </c>
      <c r="I421" s="828">
        <f>I420-GK253</f>
        <v>0</v>
      </c>
      <c r="K421" s="758"/>
      <c r="M421" s="758"/>
      <c r="O421" s="758"/>
      <c r="P421" s="758"/>
      <c r="Q421" s="758"/>
      <c r="S421" s="758"/>
      <c r="U421" s="758"/>
      <c r="V421" s="758"/>
      <c r="W421" s="758"/>
      <c r="Y421" s="758"/>
      <c r="AA421" s="758"/>
      <c r="AB421" s="758"/>
      <c r="AC421" s="758"/>
      <c r="AE421" s="758"/>
      <c r="AG421" s="758"/>
      <c r="AH421" s="758"/>
      <c r="AI421" s="758"/>
      <c r="AJ421" s="758"/>
      <c r="AK421" s="758"/>
      <c r="AM421" s="758"/>
      <c r="AO421" s="758"/>
      <c r="AP421" s="758"/>
      <c r="AQ421" s="758"/>
      <c r="AS421" s="758"/>
      <c r="AU421" s="758"/>
      <c r="AV421" s="758"/>
      <c r="AW421" s="758"/>
      <c r="AY421" s="758"/>
      <c r="BA421" s="758"/>
      <c r="BB421" s="758"/>
      <c r="BC421" s="758"/>
      <c r="BE421" s="758"/>
      <c r="BG421" s="758"/>
      <c r="BH421" s="758"/>
      <c r="BI421" s="758"/>
      <c r="BK421" s="758"/>
      <c r="BM421" s="758"/>
      <c r="BN421" s="758"/>
      <c r="BO421" s="758"/>
      <c r="BS421" s="758"/>
      <c r="BU421" s="758"/>
      <c r="CF421" s="758"/>
      <c r="CH421" s="758"/>
      <c r="CJ421" s="758"/>
      <c r="CL421" s="758"/>
      <c r="CN421" s="758"/>
      <c r="CR421" s="758"/>
      <c r="CT421" s="758"/>
      <c r="CX421" s="758"/>
      <c r="CZ421" s="758"/>
      <c r="DD421" s="758"/>
      <c r="DF421" s="758"/>
      <c r="DJ421" s="758"/>
      <c r="DL421" s="758"/>
      <c r="DP421" s="758"/>
      <c r="DR421" s="758"/>
      <c r="DX421" s="758"/>
      <c r="DZ421" s="758"/>
      <c r="EF421" s="758"/>
      <c r="EH421" s="758"/>
      <c r="EL421" s="758"/>
      <c r="EN421" s="758"/>
      <c r="ER421" s="758"/>
      <c r="ET421" s="758"/>
      <c r="EX421" s="758"/>
      <c r="EZ421" s="758"/>
      <c r="FF421" s="758"/>
      <c r="FH421" s="758"/>
      <c r="FJ421" s="758"/>
      <c r="FL421" s="758"/>
      <c r="FN421" s="758"/>
      <c r="FP421" s="758"/>
      <c r="FR421" s="758"/>
      <c r="FT421" s="758"/>
      <c r="FV421" s="758"/>
      <c r="FX421" s="758"/>
      <c r="FZ421" s="758"/>
      <c r="GB421" s="758"/>
      <c r="GD421" s="758"/>
      <c r="GF421" s="758"/>
      <c r="GH421" s="758"/>
    </row>
    <row r="423" spans="5:190" ht="22.5">
      <c r="H423" s="759" t="s">
        <v>1722</v>
      </c>
      <c r="I423" s="761">
        <f>I420-I418-I407-I406-I404-I392</f>
        <v>10807645269</v>
      </c>
    </row>
    <row r="425" spans="5:190">
      <c r="H425" s="758" t="s">
        <v>1769</v>
      </c>
      <c r="I425" s="828">
        <f>I423-GM253</f>
        <v>0</v>
      </c>
    </row>
  </sheetData>
  <sheetProtection algorithmName="SHA-512" hashValue="VAo4R6nQmdcvKvuDtkrqvb/bKDVN/Xp7dLw579Ctv0WT9/SoEOBxXt1OmjS95mfX9sDMRdI2Ss6AvNo8+Yp0+A==" saltValue="ncCcHo5nCo/sk2w2end1ZQ==" spinCount="100000" sheet="1" objects="1" scenarios="1"/>
  <customSheetViews>
    <customSheetView guid="{FBB78E72-3FBC-498A-91AC-D094BCE26D3C}" showPageBreaks="1" showGridLines="0" printArea="1" hiddenRows="1" hiddenColumns="1" topLeftCell="A8">
      <pane xSplit="10" ySplit="25" topLeftCell="M335" activePane="bottomRight" state="frozen"/>
      <selection pane="bottomRight" activeCell="M347" sqref="M347"/>
      <rowBreaks count="5" manualBreakCount="5">
        <brk id="114" max="16383" man="1"/>
        <brk id="197" max="16383" man="1"/>
        <brk id="245" max="16383" man="1"/>
        <brk id="305" max="16383" man="1"/>
        <brk id="328" max="75" man="1"/>
      </rowBreaks>
      <colBreaks count="2" manualBreakCount="2">
        <brk id="40" max="304" man="1"/>
        <brk id="73" min="8" max="373" man="1"/>
      </colBreaks>
      <pageMargins left="0.75" right="0.75" top="1" bottom="1" header="0.5" footer="0.5"/>
      <pageSetup paperSize="5" scale="42" orientation="landscape" r:id="rId1"/>
      <headerFooter alignWithMargins="0"/>
    </customSheetView>
    <customSheetView guid="{A5477BC9-FA34-449D-B0C2-AF3469BA8BF0}" showGridLines="0" hiddenRows="1" hiddenColumns="1" state="hidden" topLeftCell="A8">
      <pane xSplit="10" ySplit="25" topLeftCell="AU36" activePane="bottomRight" state="frozen"/>
      <selection pane="bottomRight" activeCell="AZ11" sqref="AZ11"/>
      <rowBreaks count="5" manualBreakCount="5">
        <brk id="114" max="16383" man="1"/>
        <brk id="197" max="16383" man="1"/>
        <brk id="245" max="16383" man="1"/>
        <brk id="305" max="16383" man="1"/>
        <brk id="328" max="75" man="1"/>
      </rowBreaks>
      <colBreaks count="2" manualBreakCount="2">
        <brk id="40" max="304" man="1"/>
        <brk id="73" min="8" max="373" man="1"/>
      </colBreaks>
      <pageMargins left="0.75" right="0.75" top="1" bottom="1" header="0.5" footer="0.5"/>
      <pageSetup paperSize="5" scale="42" orientation="landscape" r:id="rId2"/>
      <headerFooter alignWithMargins="0"/>
    </customSheetView>
    <customSheetView guid="{DFFBE5FE-C073-48C5-BDD2-B0EAD8B5A8E7}" showGridLines="0" hiddenRows="1" hiddenColumns="1" topLeftCell="A8">
      <pane xSplit="10" ySplit="25" topLeftCell="K151" activePane="bottomRight" state="frozen"/>
      <selection pane="bottomRight" activeCell="BT32" sqref="BT32"/>
      <rowBreaks count="5" manualBreakCount="5">
        <brk id="114" max="16383" man="1"/>
        <brk id="197" max="16383" man="1"/>
        <brk id="245" max="16383" man="1"/>
        <brk id="305" max="16383" man="1"/>
        <brk id="328" max="75" man="1"/>
      </rowBreaks>
      <colBreaks count="2" manualBreakCount="2">
        <brk id="40" max="304" man="1"/>
        <brk id="73" min="8" max="373" man="1"/>
      </colBreaks>
      <pageMargins left="0.75" right="0.75" top="1" bottom="1" header="0.5" footer="0.5"/>
      <pageSetup paperSize="5" scale="42" orientation="landscape" r:id="rId3"/>
      <headerFooter alignWithMargins="0"/>
    </customSheetView>
    <customSheetView guid="{9A25463D-BF6D-4A94-84A5-80E7F3451C59}" showGridLines="0" hiddenRows="1" state="hidden">
      <pane xSplit="10" ySplit="32" topLeftCell="L368" activePane="bottomRight" state="frozen"/>
      <selection pane="bottomRight" activeCell="J372" sqref="J372"/>
      <rowBreaks count="5" manualBreakCount="5">
        <brk id="115" max="16383" man="1"/>
        <brk id="198" max="16383" man="1"/>
        <brk id="246" max="16383" man="1"/>
        <brk id="306" max="16383" man="1"/>
        <brk id="329" max="75" man="1"/>
      </rowBreaks>
      <colBreaks count="2" manualBreakCount="2">
        <brk id="40" max="304" man="1"/>
        <brk id="73" min="8" max="373" man="1"/>
      </colBreaks>
      <pageMargins left="0.75" right="0.75" top="1" bottom="1" header="0.5" footer="0.5"/>
      <pageSetup paperSize="5" scale="42" orientation="landscape" r:id="rId4"/>
      <headerFooter alignWithMargins="0"/>
    </customSheetView>
    <customSheetView guid="{10B70302-090E-4CFD-BAE6-CC560B897D26}" scale="98" showPageBreaks="1" showGridLines="0" printArea="1" hiddenRows="1" state="hidden">
      <pane xSplit="10" ySplit="32" topLeftCell="K339" activePane="bottomRight" state="frozen"/>
      <selection pane="bottomRight" activeCell="E340" sqref="E340:H340"/>
      <rowBreaks count="6" manualBreakCount="6">
        <brk id="115" max="16383" man="1"/>
        <brk id="198" max="16383" man="1"/>
        <brk id="246" max="16383" man="1"/>
        <brk id="306" max="16383" man="1"/>
        <brk id="320" max="16383" man="1"/>
        <brk id="335" max="16383" man="1"/>
      </rowBreaks>
      <colBreaks count="2" manualBreakCount="2">
        <brk id="40" max="304" man="1"/>
        <brk id="73" min="8" max="373" man="1"/>
      </colBreaks>
      <pageMargins left="0.75" right="0.75" top="1" bottom="1" header="0.5" footer="0.5"/>
      <pageSetup paperSize="5" scale="35" fitToWidth="2" fitToHeight="0" orientation="landscape" r:id="rId5"/>
      <headerFooter alignWithMargins="0">
        <oddHeader>&amp;C&amp;F&amp;A</oddHeader>
        <oddFooter>&amp;L&amp;F&amp;A&amp;R&amp;P&amp;N</oddFooter>
      </headerFooter>
    </customSheetView>
  </customSheetViews>
  <mergeCells count="103">
    <mergeCell ref="E360:H360"/>
    <mergeCell ref="E370:H370"/>
    <mergeCell ref="I360:Q360"/>
    <mergeCell ref="I361:Q361"/>
    <mergeCell ref="I363:Q363"/>
    <mergeCell ref="I365:Q365"/>
    <mergeCell ref="I362:Q362"/>
    <mergeCell ref="E367:H367"/>
    <mergeCell ref="E361:H361"/>
    <mergeCell ref="E362:H362"/>
    <mergeCell ref="E363:H363"/>
    <mergeCell ref="E388:H388"/>
    <mergeCell ref="E379:H379"/>
    <mergeCell ref="E365:H365"/>
    <mergeCell ref="E380:H380"/>
    <mergeCell ref="I364:Q364"/>
    <mergeCell ref="I366:Q366"/>
    <mergeCell ref="I367:Q367"/>
    <mergeCell ref="I368:Q368"/>
    <mergeCell ref="E366:H366"/>
    <mergeCell ref="I373:Q373"/>
    <mergeCell ref="I374:Q374"/>
    <mergeCell ref="I375:Q375"/>
    <mergeCell ref="I376:Q376"/>
    <mergeCell ref="I377:Q377"/>
    <mergeCell ref="E376:H376"/>
    <mergeCell ref="E364:H364"/>
    <mergeCell ref="E371:H371"/>
    <mergeCell ref="E372:H372"/>
    <mergeCell ref="E373:H373"/>
    <mergeCell ref="E375:H375"/>
    <mergeCell ref="E368:H368"/>
    <mergeCell ref="E369:H369"/>
    <mergeCell ref="I369:Q369"/>
    <mergeCell ref="I370:Q370"/>
    <mergeCell ref="A3:F8"/>
    <mergeCell ref="E356:H356"/>
    <mergeCell ref="I358:Q358"/>
    <mergeCell ref="E358:H358"/>
    <mergeCell ref="E357:H357"/>
    <mergeCell ref="I359:Q359"/>
    <mergeCell ref="E351:H351"/>
    <mergeCell ref="E354:H354"/>
    <mergeCell ref="E353:H353"/>
    <mergeCell ref="E355:H355"/>
    <mergeCell ref="E359:H359"/>
    <mergeCell ref="AQ10:AT10"/>
    <mergeCell ref="I350:Q350"/>
    <mergeCell ref="I352:Q352"/>
    <mergeCell ref="I355:Q355"/>
    <mergeCell ref="I357:Q357"/>
    <mergeCell ref="I351:Q351"/>
    <mergeCell ref="E350:H350"/>
    <mergeCell ref="E349:H349"/>
    <mergeCell ref="E348:H348"/>
    <mergeCell ref="I348:Q348"/>
    <mergeCell ref="I349:Q349"/>
    <mergeCell ref="E352:H352"/>
    <mergeCell ref="I371:Q371"/>
    <mergeCell ref="I372:Q372"/>
    <mergeCell ref="E394:H394"/>
    <mergeCell ref="E395:H395"/>
    <mergeCell ref="E396:H396"/>
    <mergeCell ref="E397:H397"/>
    <mergeCell ref="E398:H398"/>
    <mergeCell ref="I378:Q378"/>
    <mergeCell ref="I379:Q379"/>
    <mergeCell ref="I380:Q380"/>
    <mergeCell ref="I381:Q381"/>
    <mergeCell ref="I382:Q382"/>
    <mergeCell ref="E387:H387"/>
    <mergeCell ref="E393:H393"/>
    <mergeCell ref="E391:H391"/>
    <mergeCell ref="E392:H392"/>
    <mergeCell ref="E390:H390"/>
    <mergeCell ref="E374:H374"/>
    <mergeCell ref="E386:H386"/>
    <mergeCell ref="E382:H382"/>
    <mergeCell ref="E377:H377"/>
    <mergeCell ref="E381:H381"/>
    <mergeCell ref="E389:H389"/>
    <mergeCell ref="E378:H378"/>
    <mergeCell ref="E404:H404"/>
    <mergeCell ref="E405:H405"/>
    <mergeCell ref="E406:H406"/>
    <mergeCell ref="E407:H407"/>
    <mergeCell ref="E408:H408"/>
    <mergeCell ref="E399:H399"/>
    <mergeCell ref="E400:H400"/>
    <mergeCell ref="E401:H401"/>
    <mergeCell ref="E402:H402"/>
    <mergeCell ref="E403:H403"/>
    <mergeCell ref="G419:H419"/>
    <mergeCell ref="E414:H414"/>
    <mergeCell ref="E415:H415"/>
    <mergeCell ref="E416:H416"/>
    <mergeCell ref="E417:H417"/>
    <mergeCell ref="E418:H418"/>
    <mergeCell ref="E409:H409"/>
    <mergeCell ref="E410:H410"/>
    <mergeCell ref="E411:H411"/>
    <mergeCell ref="E412:H412"/>
    <mergeCell ref="E413:H413"/>
  </mergeCells>
  <phoneticPr fontId="27" type="noConversion"/>
  <dataValidations disablePrompts="1" count="2">
    <dataValidation allowBlank="1" showErrorMessage="1" prompt="_x000a__x000a_" sqref="E9" xr:uid="{7B7CC61D-9927-4250-A12E-A51A531B12DF}"/>
    <dataValidation type="whole" allowBlank="1" showInputMessage="1" showErrorMessage="1" error="Enter a whole number." sqref="EJ108 EB110 EB108 EJ106 EB106" xr:uid="{B7BBBB69-9626-48F5-A0F4-45C072213CDD}">
      <formula1>-9999999999999</formula1>
      <formula2>9999999999999</formula2>
    </dataValidation>
  </dataValidations>
  <pageMargins left="0.75" right="0.75" top="1" bottom="1" header="0.5" footer="0.5"/>
  <pageSetup paperSize="5" scale="35" fitToWidth="2" fitToHeight="0" orientation="landscape" r:id="rId6"/>
  <headerFooter alignWithMargins="0">
    <oddHeader>&amp;C&amp;F&amp;A</oddHeader>
    <oddFooter>&amp;L&amp;F&amp;A&amp;R&amp;P&amp;N</oddFooter>
  </headerFooter>
  <rowBreaks count="5" manualBreakCount="5">
    <brk id="115" max="16383" man="1"/>
    <brk id="203" max="16383" man="1"/>
    <brk id="252" max="16383" man="1"/>
    <brk id="339" max="16383" man="1"/>
    <brk id="362" max="16383" man="1"/>
  </rowBreaks>
  <colBreaks count="1" manualBreakCount="1">
    <brk id="52" min="8" max="373" man="1"/>
  </colBreaks>
  <legacy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S376"/>
  <sheetViews>
    <sheetView showGridLines="0" zoomScaleNormal="100" zoomScaleSheetLayoutView="80" workbookViewId="0"/>
  </sheetViews>
  <sheetFormatPr defaultColWidth="23.5703125" defaultRowHeight="12.75"/>
  <cols>
    <col min="1" max="1" width="53" style="19" customWidth="1"/>
    <col min="2" max="4" width="23.5703125" style="19"/>
    <col min="5" max="5" width="25.7109375" style="19" customWidth="1"/>
    <col min="6" max="8" width="23.5703125" style="19"/>
    <col min="9" max="9" width="26.5703125" style="19" customWidth="1"/>
    <col min="10" max="16384" width="23.5703125" style="19"/>
  </cols>
  <sheetData>
    <row r="1" spans="1:12" s="679" customFormat="1" ht="12.6" customHeight="1">
      <c r="A1" s="18" t="s">
        <v>507</v>
      </c>
      <c r="B1" s="1407" t="str">
        <f>'Component Unit Template'!G1</f>
        <v/>
      </c>
      <c r="C1" s="1408"/>
      <c r="D1" s="1408"/>
      <c r="E1" s="1408"/>
      <c r="F1" s="1409"/>
      <c r="G1" s="678"/>
      <c r="H1" s="678"/>
      <c r="I1" s="404"/>
    </row>
    <row r="2" spans="1:12" s="679" customFormat="1" ht="27" customHeight="1">
      <c r="A2" s="18" t="s">
        <v>528</v>
      </c>
      <c r="B2" s="1410" t="str">
        <f>IF('Component Unit Template'!G2="","",'Component Unit Template'!G2)</f>
        <v/>
      </c>
      <c r="C2" s="1411"/>
      <c r="D2" s="1411"/>
      <c r="E2" s="1411"/>
      <c r="F2" s="1411"/>
      <c r="G2" s="680"/>
      <c r="H2" s="680"/>
      <c r="I2" s="404"/>
    </row>
    <row r="3" spans="1:12" s="679" customFormat="1">
      <c r="A3" s="18" t="s">
        <v>586</v>
      </c>
      <c r="B3" s="1412" t="str">
        <f>IF('Component Unit Template'!G3="","",'Component Unit Template'!G3)</f>
        <v/>
      </c>
      <c r="C3" s="1413"/>
      <c r="D3" s="1413"/>
      <c r="E3" s="1413"/>
      <c r="F3" s="1413"/>
      <c r="G3" s="680"/>
      <c r="H3" s="680"/>
      <c r="I3" s="404"/>
    </row>
    <row r="4" spans="1:12" s="679" customFormat="1">
      <c r="A4" s="18" t="s">
        <v>315</v>
      </c>
      <c r="B4" s="1414" t="str">
        <f>IF('Component Unit Template'!G4="","",'Component Unit Template'!G4)</f>
        <v/>
      </c>
      <c r="C4" s="1415"/>
      <c r="D4" s="1415"/>
      <c r="E4" s="1415"/>
      <c r="F4" s="1415"/>
      <c r="G4" s="681"/>
      <c r="H4" s="681"/>
      <c r="I4" s="404"/>
    </row>
    <row r="5" spans="1:12" s="679" customFormat="1">
      <c r="A5" s="18" t="s">
        <v>677</v>
      </c>
      <c r="B5" s="1416" t="str">
        <f>IF('Component Unit Template'!G5="","",'Component Unit Template'!G5)</f>
        <v/>
      </c>
      <c r="C5" s="1417"/>
      <c r="D5" s="1417"/>
      <c r="E5" s="1417"/>
      <c r="F5" s="1417"/>
      <c r="G5" s="682"/>
      <c r="H5" s="682"/>
      <c r="I5" s="404"/>
    </row>
    <row r="6" spans="1:12" s="679" customFormat="1">
      <c r="A6" s="18" t="s">
        <v>36</v>
      </c>
      <c r="B6" s="1418" t="str">
        <f>IF('Component Unit Template'!G6="","",'Component Unit Template'!G6)</f>
        <v/>
      </c>
      <c r="C6" s="1418"/>
      <c r="D6" s="1418"/>
      <c r="E6" s="1418"/>
      <c r="F6" s="1418"/>
      <c r="G6" s="683"/>
      <c r="H6" s="683"/>
      <c r="I6" s="404"/>
    </row>
    <row r="7" spans="1:12" s="679" customFormat="1">
      <c r="A7" s="19"/>
      <c r="B7" s="684"/>
      <c r="C7" s="404"/>
      <c r="D7" s="404"/>
      <c r="E7" s="404"/>
      <c r="F7" s="404"/>
      <c r="G7" s="404"/>
      <c r="H7" s="404"/>
      <c r="I7" s="404"/>
    </row>
    <row r="8" spans="1:12" s="679" customFormat="1">
      <c r="A8" s="19"/>
      <c r="B8" s="684"/>
      <c r="C8" s="404"/>
      <c r="D8" s="404"/>
      <c r="E8" s="404"/>
      <c r="F8" s="404"/>
      <c r="G8" s="404"/>
      <c r="H8" s="404"/>
      <c r="I8" s="404"/>
    </row>
    <row r="9" spans="1:12" s="679" customFormat="1">
      <c r="A9" s="19"/>
      <c r="B9" s="684"/>
      <c r="C9" s="404"/>
      <c r="D9" s="404"/>
      <c r="E9" s="404"/>
      <c r="F9" s="404"/>
      <c r="G9" s="404"/>
      <c r="H9" s="404"/>
      <c r="I9" s="404"/>
    </row>
    <row r="10" spans="1:12" s="679" customFormat="1">
      <c r="A10" s="685"/>
      <c r="B10" s="686"/>
      <c r="C10" s="687"/>
      <c r="D10" s="687"/>
      <c r="E10" s="687"/>
      <c r="F10" s="404"/>
      <c r="G10" s="404"/>
      <c r="H10" s="404"/>
      <c r="I10" s="404"/>
    </row>
    <row r="11" spans="1:12" s="679" customFormat="1">
      <c r="A11" s="688"/>
      <c r="B11" s="684"/>
      <c r="C11" s="404"/>
      <c r="D11" s="404"/>
      <c r="E11" s="404"/>
      <c r="F11" s="917"/>
      <c r="G11" s="917"/>
      <c r="H11" s="917"/>
      <c r="I11" s="917"/>
      <c r="J11" s="918"/>
      <c r="K11" s="918"/>
      <c r="L11" s="918"/>
    </row>
    <row r="12" spans="1:12" s="679" customFormat="1" ht="12.6" customHeight="1">
      <c r="A12" s="122" t="s">
        <v>424</v>
      </c>
      <c r="B12" s="19"/>
      <c r="C12" s="19"/>
      <c r="D12" s="19"/>
      <c r="I12" s="450"/>
    </row>
    <row r="13" spans="1:12" s="689" customFormat="1" ht="12.6" customHeight="1">
      <c r="A13" s="123" t="str">
        <f>'Component Unit Template'!A35</f>
        <v>For the Year Ended June 30, 2024</v>
      </c>
      <c r="B13" s="19"/>
      <c r="C13" s="19"/>
      <c r="D13" s="19"/>
      <c r="F13" s="690"/>
      <c r="G13" s="690"/>
      <c r="H13" s="690"/>
      <c r="I13" s="691"/>
    </row>
    <row r="14" spans="1:12" s="689" customFormat="1" ht="12" customHeight="1">
      <c r="A14" s="692"/>
      <c r="B14" s="19"/>
      <c r="C14" s="19"/>
      <c r="D14" s="19"/>
      <c r="F14" s="690"/>
      <c r="G14" s="690"/>
      <c r="H14" s="690"/>
      <c r="I14" s="691"/>
    </row>
    <row r="15" spans="1:12">
      <c r="A15" s="18" t="s">
        <v>613</v>
      </c>
    </row>
    <row r="16" spans="1:12" ht="26.25" customHeight="1">
      <c r="A16" s="18"/>
      <c r="E16" s="693"/>
      <c r="I16" s="677"/>
      <c r="J16" s="677"/>
      <c r="K16" s="677"/>
      <c r="L16" s="676"/>
    </row>
    <row r="17" spans="1:12" ht="25.5" customHeight="1">
      <c r="A17" s="18"/>
      <c r="B17" s="260" t="s">
        <v>1815</v>
      </c>
      <c r="C17" s="260" t="s">
        <v>174</v>
      </c>
      <c r="D17" s="260" t="s">
        <v>94</v>
      </c>
      <c r="E17" s="694" t="s">
        <v>1816</v>
      </c>
      <c r="F17" s="694" t="s">
        <v>95</v>
      </c>
      <c r="G17" s="694" t="s">
        <v>722</v>
      </c>
      <c r="H17" s="694" t="s">
        <v>1817</v>
      </c>
      <c r="I17" s="694" t="s">
        <v>1818</v>
      </c>
      <c r="J17" s="694" t="s">
        <v>75</v>
      </c>
      <c r="K17" s="694" t="str">
        <f>E17</f>
        <v>Balance June 30, 2024</v>
      </c>
      <c r="L17" s="695" t="s">
        <v>104</v>
      </c>
    </row>
    <row r="18" spans="1:12">
      <c r="A18" s="696" t="s">
        <v>984</v>
      </c>
      <c r="B18" s="40"/>
      <c r="C18" s="40"/>
      <c r="D18" s="40"/>
      <c r="E18" s="697">
        <f>IF(SUM(B18:D18)=('Component Unit Template'!K158+'Component Unit Template'!K179),SUM(B18:D18),"ERROR")</f>
        <v>0</v>
      </c>
      <c r="F18" s="697">
        <f>'Component Unit Template'!K158</f>
        <v>0</v>
      </c>
      <c r="G18" s="697">
        <f t="shared" ref="G18:G34" si="0">E18-F18</f>
        <v>0</v>
      </c>
      <c r="H18" s="40"/>
      <c r="I18" s="40"/>
      <c r="J18" s="40"/>
      <c r="K18" s="107">
        <f>IF(E18=SUM(H18:J18),SUM(H18:J18),"ERROR")</f>
        <v>0</v>
      </c>
      <c r="L18" s="134">
        <f>(SUM(B18:D18))-(SUM('Component Unit Template'!K158+'Component Unit Template'!K179))</f>
        <v>0</v>
      </c>
    </row>
    <row r="19" spans="1:12">
      <c r="A19" s="698" t="s">
        <v>203</v>
      </c>
      <c r="B19" s="40"/>
      <c r="C19" s="40"/>
      <c r="D19" s="40"/>
      <c r="E19" s="697">
        <f>IF(SUM(B19:D19)=('Component Unit Template'!K159+'Component Unit Template'!K180),SUM(B19:D19),"ERROR")</f>
        <v>0</v>
      </c>
      <c r="F19" s="697">
        <f>'Component Unit Template'!K159</f>
        <v>0</v>
      </c>
      <c r="G19" s="697">
        <f t="shared" si="0"/>
        <v>0</v>
      </c>
      <c r="H19" s="40"/>
      <c r="I19" s="40"/>
      <c r="J19" s="40"/>
      <c r="K19" s="107">
        <f>IF(E19=SUM(H19:J19),SUM(H19:J19),"ERROR")</f>
        <v>0</v>
      </c>
      <c r="L19" s="134">
        <f>(SUM(B19:D19))-(SUM('Component Unit Template'!K159+'Component Unit Template'!K180))</f>
        <v>0</v>
      </c>
    </row>
    <row r="20" spans="1:12">
      <c r="A20" s="698" t="s">
        <v>1592</v>
      </c>
      <c r="B20" s="40"/>
      <c r="C20" s="40"/>
      <c r="D20" s="40"/>
      <c r="E20" s="697">
        <f>IF(SUM(B20:D20)=('Component Unit Template'!K160+'Component Unit Template'!K181),SUM(B20:D20),"ERROR")</f>
        <v>0</v>
      </c>
      <c r="F20" s="697">
        <f>'Component Unit Template'!K160</f>
        <v>0</v>
      </c>
      <c r="G20" s="697">
        <f t="shared" si="0"/>
        <v>0</v>
      </c>
      <c r="H20" s="699"/>
      <c r="I20" s="926"/>
      <c r="J20" s="926"/>
      <c r="K20" s="927"/>
      <c r="L20" s="134">
        <f>(SUM(B20:D20))-(SUM('Component Unit Template'!K160+'Component Unit Template'!K181))</f>
        <v>0</v>
      </c>
    </row>
    <row r="21" spans="1:12">
      <c r="A21" s="698" t="s">
        <v>1678</v>
      </c>
      <c r="B21" s="40"/>
      <c r="C21" s="40"/>
      <c r="D21" s="40"/>
      <c r="E21" s="697">
        <f>IF(SUM(B21:D21)=('Component Unit Template'!K161+'Component Unit Template'!K182),SUM(B21:D21),"ERROR")</f>
        <v>0</v>
      </c>
      <c r="F21" s="697">
        <f>'Component Unit Template'!K161</f>
        <v>0</v>
      </c>
      <c r="G21" s="697">
        <f t="shared" ref="G21:G23" si="1">E21-F21</f>
        <v>0</v>
      </c>
      <c r="H21" s="699"/>
      <c r="I21" s="926"/>
      <c r="J21" s="926"/>
      <c r="K21" s="927"/>
      <c r="L21" s="134">
        <f>(SUM(B21:D21))-(SUM('Component Unit Template'!K161+'Component Unit Template'!K182))</f>
        <v>0</v>
      </c>
    </row>
    <row r="22" spans="1:12">
      <c r="A22" s="19" t="s">
        <v>1577</v>
      </c>
      <c r="B22" s="40"/>
      <c r="C22" s="40"/>
      <c r="D22" s="40"/>
      <c r="E22" s="697">
        <f>IF(SUM(B22:D22)=('Component Unit Template'!K162+'Component Unit Template'!K183),SUM(B22:D22),"ERROR")</f>
        <v>0</v>
      </c>
      <c r="F22" s="697">
        <f>'Component Unit Template'!K162</f>
        <v>0</v>
      </c>
      <c r="G22" s="697">
        <f t="shared" ref="G22" si="2">E22-F22</f>
        <v>0</v>
      </c>
      <c r="H22" s="699"/>
      <c r="I22" s="926"/>
      <c r="J22" s="926"/>
      <c r="K22" s="927"/>
      <c r="L22" s="134">
        <f>(SUM(B22:D22))-(SUM('Component Unit Template'!K162+'Component Unit Template'!K183))</f>
        <v>0</v>
      </c>
    </row>
    <row r="23" spans="1:12">
      <c r="A23" s="19" t="s">
        <v>1593</v>
      </c>
      <c r="B23" s="40"/>
      <c r="C23" s="40"/>
      <c r="D23" s="40"/>
      <c r="E23" s="697">
        <f>IF(SUM(B23:D23)=('Component Unit Template'!K163+'Component Unit Template'!K184),SUM(B23:D23),"ERROR")</f>
        <v>0</v>
      </c>
      <c r="F23" s="697">
        <f>'Component Unit Template'!K163</f>
        <v>0</v>
      </c>
      <c r="G23" s="697">
        <f t="shared" si="1"/>
        <v>0</v>
      </c>
      <c r="H23" s="699"/>
      <c r="I23" s="926"/>
      <c r="J23" s="926"/>
      <c r="K23" s="927"/>
      <c r="L23" s="134">
        <f>(SUM(B23:D23))-(SUM('Component Unit Template'!K163+'Component Unit Template'!K184))</f>
        <v>0</v>
      </c>
    </row>
    <row r="24" spans="1:12">
      <c r="A24" s="696" t="s">
        <v>1594</v>
      </c>
      <c r="B24" s="40"/>
      <c r="C24" s="40"/>
      <c r="D24" s="40"/>
      <c r="E24" s="697">
        <f>IF(SUM(B24:D24)=('Component Unit Template'!K164+'Component Unit Template'!K185),SUM(B24:D24),"ERROR")</f>
        <v>0</v>
      </c>
      <c r="F24" s="697">
        <f>'Component Unit Template'!K164</f>
        <v>0</v>
      </c>
      <c r="G24" s="697">
        <f t="shared" si="0"/>
        <v>0</v>
      </c>
      <c r="H24" s="40"/>
      <c r="I24" s="40"/>
      <c r="J24" s="40"/>
      <c r="K24" s="107">
        <f>IF(E24=SUM(H24:J24),SUM(H24:J24),"ERROR")</f>
        <v>0</v>
      </c>
      <c r="L24" s="134">
        <f>(SUM(B24:D24))-(SUM('Component Unit Template'!K164+'Component Unit Template'!K185))</f>
        <v>0</v>
      </c>
    </row>
    <row r="25" spans="1:12">
      <c r="A25" s="696" t="s">
        <v>96</v>
      </c>
      <c r="B25" s="40"/>
      <c r="C25" s="40"/>
      <c r="D25" s="40"/>
      <c r="E25" s="697">
        <f>IF(SUM(B25:D25)=('Component Unit Template'!K165+'Component Unit Template'!K186),SUM(B25:D25),"ERROR")</f>
        <v>0</v>
      </c>
      <c r="F25" s="697">
        <f>'Component Unit Template'!K165</f>
        <v>0</v>
      </c>
      <c r="G25" s="697">
        <f t="shared" si="0"/>
        <v>0</v>
      </c>
      <c r="I25" s="926"/>
      <c r="J25" s="926"/>
      <c r="K25" s="927"/>
      <c r="L25" s="134">
        <f>(SUM(B25:D25))-(SUM('Component Unit Template'!K165+'Component Unit Template'!K186))</f>
        <v>0</v>
      </c>
    </row>
    <row r="26" spans="1:12">
      <c r="A26" s="696" t="s">
        <v>1595</v>
      </c>
      <c r="B26" s="40"/>
      <c r="C26" s="40"/>
      <c r="D26" s="40"/>
      <c r="E26" s="697">
        <f>IF(SUM(B26:D26)=('Component Unit Template'!K187),SUM(B26:D26),"ERROR")</f>
        <v>0</v>
      </c>
      <c r="F26" s="697"/>
      <c r="G26" s="697">
        <f t="shared" si="0"/>
        <v>0</v>
      </c>
      <c r="I26" s="926"/>
      <c r="J26" s="926"/>
      <c r="K26" s="927"/>
      <c r="L26" s="134">
        <f>(SUM(B26:D26))-(SUM('Component Unit Template'!K187))</f>
        <v>0</v>
      </c>
    </row>
    <row r="27" spans="1:12">
      <c r="A27" s="700" t="s">
        <v>1596</v>
      </c>
      <c r="B27" s="40"/>
      <c r="C27" s="40"/>
      <c r="D27" s="40"/>
      <c r="E27" s="697">
        <f>IF(SUM(B27:D27)=('Component Unit Template'!K166+'Component Unit Template'!K188),SUM(B27:D27),"ERROR")</f>
        <v>0</v>
      </c>
      <c r="F27" s="697">
        <f>'Component Unit Template'!K166</f>
        <v>0</v>
      </c>
      <c r="G27" s="697">
        <f t="shared" si="0"/>
        <v>0</v>
      </c>
      <c r="I27" s="926"/>
      <c r="J27" s="926"/>
      <c r="K27" s="927"/>
      <c r="L27" s="134">
        <f>(SUM(B27:D27))-('Component Unit Template'!K188+'Component Unit Template'!K166)</f>
        <v>0</v>
      </c>
    </row>
    <row r="28" spans="1:12">
      <c r="A28" s="700" t="s">
        <v>1597</v>
      </c>
      <c r="B28" s="40"/>
      <c r="C28" s="40"/>
      <c r="D28" s="40"/>
      <c r="E28" s="697">
        <f>IF(SUM(B28:D28)=('Component Unit Template'!K167+'Component Unit Template'!K189),SUM(B28:D28),"ERROR")</f>
        <v>0</v>
      </c>
      <c r="F28" s="697">
        <f>'Component Unit Template'!K167</f>
        <v>0</v>
      </c>
      <c r="G28" s="697">
        <f t="shared" si="0"/>
        <v>0</v>
      </c>
      <c r="I28" s="926"/>
      <c r="J28" s="926"/>
      <c r="K28" s="927"/>
      <c r="L28" s="134">
        <f>(SUM(B28:D28))-('Component Unit Template'!K189+'Component Unit Template'!K167)</f>
        <v>0</v>
      </c>
    </row>
    <row r="29" spans="1:12" ht="12" customHeight="1">
      <c r="A29" s="696" t="s">
        <v>512</v>
      </c>
      <c r="B29" s="40"/>
      <c r="C29" s="40"/>
      <c r="D29" s="40"/>
      <c r="E29" s="697">
        <f>IF(SUM(B29:D29)=('Component Unit Template'!K168+'Component Unit Template'!K190),SUM(B29:D29),"ERROR")</f>
        <v>0</v>
      </c>
      <c r="F29" s="697">
        <f>'Component Unit Template'!K168</f>
        <v>0</v>
      </c>
      <c r="G29" s="697">
        <f t="shared" si="0"/>
        <v>0</v>
      </c>
      <c r="H29" s="40"/>
      <c r="I29" s="40"/>
      <c r="J29" s="40"/>
      <c r="K29" s="107">
        <f>IF(E29=SUM(H29:J29),SUM(H29:J29),"ERROR")</f>
        <v>0</v>
      </c>
      <c r="L29" s="134">
        <f>(SUM(B29:D29))-(SUM('Component Unit Template'!K168+'Component Unit Template'!K190))</f>
        <v>0</v>
      </c>
    </row>
    <row r="30" spans="1:12">
      <c r="A30" s="696" t="s">
        <v>590</v>
      </c>
      <c r="B30" s="40"/>
      <c r="C30" s="40"/>
      <c r="D30" s="40"/>
      <c r="E30" s="697">
        <f>IF(SUM(B30:D30)=('Component Unit Template'!K169+'Component Unit Template'!K191),SUM(B30:D30),"ERROR")</f>
        <v>0</v>
      </c>
      <c r="F30" s="697">
        <f>'Component Unit Template'!K169</f>
        <v>0</v>
      </c>
      <c r="G30" s="697">
        <f t="shared" si="0"/>
        <v>0</v>
      </c>
      <c r="I30" s="926"/>
      <c r="J30" s="926"/>
      <c r="K30" s="928"/>
      <c r="L30" s="134">
        <f>(SUM(B30:D30))-(SUM('Component Unit Template'!K169+'Component Unit Template'!K191))</f>
        <v>0</v>
      </c>
    </row>
    <row r="31" spans="1:12">
      <c r="A31" s="19" t="s">
        <v>1598</v>
      </c>
      <c r="B31" s="40"/>
      <c r="C31" s="40"/>
      <c r="D31" s="40"/>
      <c r="E31" s="697">
        <f>SUM(B31:D31)</f>
        <v>0</v>
      </c>
      <c r="F31" s="40"/>
      <c r="G31" s="697">
        <f t="shared" si="0"/>
        <v>0</v>
      </c>
      <c r="H31" s="40"/>
      <c r="I31" s="40"/>
      <c r="J31" s="40"/>
      <c r="K31" s="107">
        <f>IF(E31=SUM(H31:J31),SUM(H31:J31),"ERROR")</f>
        <v>0</v>
      </c>
      <c r="L31" s="134"/>
    </row>
    <row r="32" spans="1:12">
      <c r="A32" s="19" t="s">
        <v>1598</v>
      </c>
      <c r="B32" s="40"/>
      <c r="C32" s="40"/>
      <c r="D32" s="40"/>
      <c r="E32" s="697">
        <f t="shared" ref="E32:E34" si="3">SUM(B32:D32)</f>
        <v>0</v>
      </c>
      <c r="F32" s="40"/>
      <c r="G32" s="697">
        <f t="shared" si="0"/>
        <v>0</v>
      </c>
      <c r="H32" s="40"/>
      <c r="I32" s="40"/>
      <c r="J32" s="40"/>
      <c r="K32" s="107">
        <f>IF(E32=SUM(H32:J32),SUM(H32:J32),"ERROR")</f>
        <v>0</v>
      </c>
      <c r="L32" s="134"/>
    </row>
    <row r="33" spans="1:19">
      <c r="A33" s="19" t="s">
        <v>1598</v>
      </c>
      <c r="B33" s="40"/>
      <c r="C33" s="40"/>
      <c r="D33" s="40"/>
      <c r="E33" s="697">
        <f t="shared" si="3"/>
        <v>0</v>
      </c>
      <c r="F33" s="40"/>
      <c r="G33" s="697">
        <f t="shared" si="0"/>
        <v>0</v>
      </c>
      <c r="H33" s="40"/>
      <c r="I33" s="40"/>
      <c r="J33" s="40"/>
      <c r="K33" s="107">
        <f>IF(E33=SUM(H33:J33),SUM(H33:J33),"ERROR")</f>
        <v>0</v>
      </c>
      <c r="L33" s="134"/>
    </row>
    <row r="34" spans="1:19">
      <c r="A34" s="19" t="s">
        <v>1598</v>
      </c>
      <c r="B34" s="40"/>
      <c r="C34" s="40"/>
      <c r="D34" s="40"/>
      <c r="E34" s="697">
        <f t="shared" si="3"/>
        <v>0</v>
      </c>
      <c r="F34" s="40"/>
      <c r="G34" s="697">
        <f t="shared" si="0"/>
        <v>0</v>
      </c>
      <c r="H34" s="40"/>
      <c r="I34" s="40"/>
      <c r="J34" s="40"/>
      <c r="K34" s="107">
        <f>IF(E34=SUM(H34:J34),SUM(H34:J34),"ERROR")</f>
        <v>0</v>
      </c>
      <c r="L34" s="134"/>
    </row>
    <row r="35" spans="1:19">
      <c r="A35" s="32" t="s">
        <v>887</v>
      </c>
      <c r="B35" s="697">
        <f>SUM(B31:B34)</f>
        <v>0</v>
      </c>
      <c r="C35" s="697">
        <f>SUM(C31:C34)</f>
        <v>0</v>
      </c>
      <c r="D35" s="697">
        <f>SUM(D31:D34)</f>
        <v>0</v>
      </c>
      <c r="E35" s="697">
        <f>IF(SUM(B35:D35)=('Component Unit Template'!K170+'Component Unit Template'!K192),SUM(B35:D35),"ERROR")</f>
        <v>0</v>
      </c>
      <c r="F35" s="697">
        <f>IF(SUM(F31:F34)=('Component Unit Template'!K170), SUM(F31:F34), "ERROR")</f>
        <v>0</v>
      </c>
      <c r="G35" s="697">
        <f>IF(SUM(G31:G34)=('Component Unit Template'!K192), SUM(G31:G34), "ERROR")</f>
        <v>0</v>
      </c>
      <c r="H35" s="699"/>
      <c r="I35" s="699"/>
      <c r="J35" s="699"/>
      <c r="K35" s="699"/>
      <c r="L35" s="134">
        <f>(SUM(B35:D35))-(SUM('Component Unit Template'!K170+'Component Unit Template'!K192))</f>
        <v>0</v>
      </c>
    </row>
    <row r="36" spans="1:19" ht="13.5" thickBot="1">
      <c r="A36" s="32" t="s">
        <v>97</v>
      </c>
      <c r="B36" s="701">
        <f t="shared" ref="B36:G36" si="4">SUM(B18:B30)+B35</f>
        <v>0</v>
      </c>
      <c r="C36" s="701">
        <f t="shared" si="4"/>
        <v>0</v>
      </c>
      <c r="D36" s="701">
        <f t="shared" si="4"/>
        <v>0</v>
      </c>
      <c r="E36" s="701">
        <f t="shared" si="4"/>
        <v>0</v>
      </c>
      <c r="F36" s="701">
        <f t="shared" si="4"/>
        <v>0</v>
      </c>
      <c r="G36" s="701">
        <f t="shared" si="4"/>
        <v>0</v>
      </c>
      <c r="H36" s="699"/>
      <c r="I36" s="699"/>
      <c r="J36" s="699"/>
      <c r="K36" s="699"/>
    </row>
    <row r="37" spans="1:19" ht="13.5" thickTop="1">
      <c r="A37" s="32"/>
      <c r="B37" s="702"/>
      <c r="C37" s="702"/>
      <c r="D37" s="702"/>
      <c r="E37" s="702"/>
      <c r="F37" s="702"/>
      <c r="G37" s="702"/>
    </row>
    <row r="38" spans="1:19" ht="40.5" customHeight="1">
      <c r="A38" s="1397" t="s">
        <v>1286</v>
      </c>
      <c r="B38" s="1397"/>
      <c r="C38" s="1397"/>
      <c r="D38" s="1397"/>
      <c r="E38" s="1397"/>
      <c r="F38" s="1397"/>
      <c r="G38" s="1397"/>
      <c r="H38" s="702"/>
    </row>
    <row r="39" spans="1:19">
      <c r="A39" s="521"/>
      <c r="B39" s="348"/>
      <c r="C39" s="348"/>
      <c r="D39" s="348"/>
      <c r="E39" s="348"/>
      <c r="F39" s="348"/>
      <c r="G39" s="348"/>
      <c r="H39" s="348"/>
      <c r="I39" s="348"/>
      <c r="J39" s="348"/>
      <c r="K39" s="348"/>
      <c r="L39" s="348"/>
    </row>
    <row r="40" spans="1:19">
      <c r="A40" s="18"/>
    </row>
    <row r="41" spans="1:19">
      <c r="A41" s="703" t="s">
        <v>432</v>
      </c>
      <c r="B41" s="104"/>
      <c r="C41" s="104"/>
      <c r="D41" s="104"/>
      <c r="E41" s="104"/>
      <c r="F41" s="1419"/>
      <c r="G41" s="1419"/>
      <c r="H41" s="1419"/>
      <c r="I41" s="1420"/>
    </row>
    <row r="42" spans="1:19">
      <c r="A42" s="704"/>
      <c r="B42" s="105"/>
      <c r="C42" s="105"/>
      <c r="D42" s="105"/>
      <c r="E42" s="106"/>
      <c r="F42" s="105"/>
      <c r="G42" s="105"/>
      <c r="H42" s="105"/>
      <c r="I42" s="105"/>
    </row>
    <row r="43" spans="1:19" ht="25.5">
      <c r="A43" s="704"/>
      <c r="B43" s="705" t="s">
        <v>1819</v>
      </c>
      <c r="C43" s="705" t="s">
        <v>316</v>
      </c>
      <c r="D43" s="705" t="s">
        <v>990</v>
      </c>
      <c r="E43" s="105"/>
      <c r="F43" s="105"/>
      <c r="G43" s="105"/>
      <c r="H43" s="105"/>
      <c r="I43" s="105"/>
      <c r="K43" s="1396"/>
      <c r="L43" s="1396"/>
      <c r="M43" s="1396"/>
      <c r="N43" s="1396"/>
      <c r="O43" s="1396"/>
      <c r="P43" s="1396"/>
      <c r="Q43" s="1396"/>
      <c r="R43" s="1396"/>
      <c r="S43" s="1396"/>
    </row>
    <row r="44" spans="1:19">
      <c r="A44" s="19" t="s">
        <v>434</v>
      </c>
      <c r="B44" s="107">
        <f>B18</f>
        <v>0</v>
      </c>
      <c r="C44" s="107" t="str">
        <f>IF(ISNA(HLOOKUP($B$2,'Prior Year Amounts'!$K$325:$GB$344,3,FALSE)),"",(HLOOKUP($B$2,'Prior Year Amounts'!$K$325:$GB$344,3,FALSE)))</f>
        <v/>
      </c>
      <c r="D44" s="107" t="str">
        <f t="shared" ref="D44:D60" si="5">IF(ISERR(B44-C44),"",(B44-C44))</f>
        <v/>
      </c>
      <c r="E44" s="105"/>
      <c r="F44" s="105"/>
      <c r="G44" s="105"/>
      <c r="H44" s="105"/>
      <c r="I44" s="105"/>
    </row>
    <row r="45" spans="1:19">
      <c r="A45" s="19" t="s">
        <v>433</v>
      </c>
      <c r="B45" s="107">
        <f>B19</f>
        <v>0</v>
      </c>
      <c r="C45" s="107" t="str">
        <f>IF(ISNA(HLOOKUP($B$2,'Prior Year Amounts'!$K$325:$GB$344,4,FALSE)),"",(HLOOKUP($B$2,'Prior Year Amounts'!$K$325:$GB$344,4,FALSE)))</f>
        <v/>
      </c>
      <c r="D45" s="107" t="str">
        <f t="shared" si="5"/>
        <v/>
      </c>
      <c r="E45" s="105"/>
      <c r="F45" s="105"/>
      <c r="G45" s="105"/>
      <c r="H45" s="105"/>
      <c r="I45" s="105"/>
    </row>
    <row r="46" spans="1:19">
      <c r="A46" s="19" t="s">
        <v>1481</v>
      </c>
      <c r="B46" s="107">
        <f>B20</f>
        <v>0</v>
      </c>
      <c r="C46" s="107" t="str">
        <f>IF(ISNA(HLOOKUP($B$2,'Prior Year Amounts'!$K$325:$GB$344,5,FALSE)),"",(HLOOKUP($B$2,'Prior Year Amounts'!$K$325:$GB$344,5,FALSE)))</f>
        <v/>
      </c>
      <c r="D46" s="107" t="str">
        <f t="shared" ref="D46:D49" si="6">IF(ISERR(B46-C46),"",(B46-C46))</f>
        <v/>
      </c>
      <c r="E46" s="820"/>
      <c r="F46" s="105"/>
      <c r="G46" s="105"/>
      <c r="H46" s="105"/>
      <c r="I46" s="105"/>
    </row>
    <row r="47" spans="1:19">
      <c r="A47" s="19" t="s">
        <v>1580</v>
      </c>
      <c r="B47" s="107">
        <f>B21</f>
        <v>0</v>
      </c>
      <c r="C47" s="107" t="str">
        <f>IF(ISNA(HLOOKUP($B$2,'Prior Year Amounts'!$K$325:$GB$344,6,FALSE)),"",(HLOOKUP($B$2,'Prior Year Amounts'!$K$325:$GB$344,6,FALSE)))</f>
        <v/>
      </c>
      <c r="D47" s="107" t="str">
        <f t="shared" si="6"/>
        <v/>
      </c>
      <c r="E47" s="820"/>
      <c r="F47" s="105"/>
      <c r="G47" s="105"/>
      <c r="H47" s="105"/>
      <c r="I47" s="105"/>
    </row>
    <row r="48" spans="1:19">
      <c r="A48" s="19" t="s">
        <v>1579</v>
      </c>
      <c r="B48" s="107">
        <f t="shared" ref="B48:B49" si="7">B22</f>
        <v>0</v>
      </c>
      <c r="C48" s="107" t="str">
        <f>IF(ISNA(HLOOKUP($B$2,'Prior Year Amounts'!$K$325:$GB$344,7,FALSE)),"",(HLOOKUP($B$2,'Prior Year Amounts'!$K$325:$GB$344,7,FALSE)))</f>
        <v/>
      </c>
      <c r="D48" s="107" t="str">
        <f t="shared" ref="D48" si="8">IF(ISERR(B48-C48),"",(B48-C48))</f>
        <v/>
      </c>
      <c r="E48" s="820"/>
      <c r="F48" s="105"/>
      <c r="G48" s="105"/>
      <c r="H48" s="105"/>
      <c r="I48" s="105"/>
    </row>
    <row r="49" spans="1:9">
      <c r="A49" s="19" t="s">
        <v>1581</v>
      </c>
      <c r="B49" s="107">
        <f t="shared" si="7"/>
        <v>0</v>
      </c>
      <c r="C49" s="107" t="str">
        <f>IF(ISNA(HLOOKUP($B$2,'Prior Year Amounts'!$K$325:$GB$344,8,FALSE)),"",(HLOOKUP($B$2,'Prior Year Amounts'!$K$325:$GB$344,8,FALSE)))</f>
        <v/>
      </c>
      <c r="D49" s="107" t="str">
        <f t="shared" si="6"/>
        <v/>
      </c>
      <c r="E49" s="820"/>
      <c r="F49" s="105"/>
      <c r="G49" s="105"/>
      <c r="H49" s="105"/>
      <c r="I49" s="105"/>
    </row>
    <row r="50" spans="1:9">
      <c r="A50" s="19" t="s">
        <v>436</v>
      </c>
      <c r="B50" s="107">
        <f t="shared" ref="B50:B60" si="9">B24</f>
        <v>0</v>
      </c>
      <c r="C50" s="107" t="str">
        <f>IF(ISNA(HLOOKUP($B$2,'Prior Year Amounts'!$K$325:$GB$344,9,FALSE)),"",(HLOOKUP($B$2,'Prior Year Amounts'!$K$325:$GB$344,9,FALSE)))</f>
        <v/>
      </c>
      <c r="D50" s="107" t="str">
        <f t="shared" si="5"/>
        <v/>
      </c>
      <c r="E50" s="105"/>
      <c r="F50" s="105"/>
      <c r="G50" s="105"/>
      <c r="H50" s="105"/>
      <c r="I50" s="105"/>
    </row>
    <row r="51" spans="1:9">
      <c r="A51" s="19" t="s">
        <v>96</v>
      </c>
      <c r="B51" s="107">
        <f t="shared" si="9"/>
        <v>0</v>
      </c>
      <c r="C51" s="107" t="str">
        <f>IF(ISNA(HLOOKUP($B$2,'Prior Year Amounts'!$K$325:$GB$344,10,FALSE)),"",(HLOOKUP($B$2,'Prior Year Amounts'!$K$325:$GB$344,10,FALSE)))</f>
        <v/>
      </c>
      <c r="D51" s="107" t="str">
        <f t="shared" si="5"/>
        <v/>
      </c>
      <c r="E51" s="105"/>
      <c r="F51" s="105"/>
      <c r="G51" s="105"/>
      <c r="H51" s="105"/>
      <c r="I51" s="105"/>
    </row>
    <row r="52" spans="1:9">
      <c r="A52" s="19" t="s">
        <v>1122</v>
      </c>
      <c r="B52" s="107">
        <f t="shared" si="9"/>
        <v>0</v>
      </c>
      <c r="C52" s="107" t="str">
        <f>IF(ISNA(HLOOKUP($B$2,'Prior Year Amounts'!$K$325:$GB$344,11,FALSE)),"",(HLOOKUP($B$2,'Prior Year Amounts'!$K$325:$GB$344,11,FALSE)))</f>
        <v/>
      </c>
      <c r="D52" s="107" t="str">
        <f t="shared" si="5"/>
        <v/>
      </c>
      <c r="E52" s="105"/>
      <c r="F52" s="105"/>
      <c r="G52" s="105"/>
      <c r="H52" s="105"/>
      <c r="I52" s="105"/>
    </row>
    <row r="53" spans="1:9">
      <c r="A53" s="700" t="s">
        <v>1323</v>
      </c>
      <c r="B53" s="107">
        <f t="shared" si="9"/>
        <v>0</v>
      </c>
      <c r="C53" s="107" t="str">
        <f>IF(ISNA(HLOOKUP($B$2,'Prior Year Amounts'!$K$325:$GB$344,12,FALSE)),"",(HLOOKUP($B$2,'Prior Year Amounts'!$K$325:$GB$344,12,FALSE)))</f>
        <v/>
      </c>
      <c r="D53" s="107" t="str">
        <f t="shared" si="5"/>
        <v/>
      </c>
      <c r="E53" s="105"/>
      <c r="F53" s="105"/>
      <c r="G53" s="105"/>
      <c r="H53" s="105"/>
      <c r="I53" s="105"/>
    </row>
    <row r="54" spans="1:9">
      <c r="A54" s="700" t="s">
        <v>1322</v>
      </c>
      <c r="B54" s="107">
        <f t="shared" si="9"/>
        <v>0</v>
      </c>
      <c r="C54" s="107" t="str">
        <f>IF(ISNA(HLOOKUP($B$2,'Prior Year Amounts'!$K$325:$GB$344,13,FALSE)),"",(HLOOKUP($B$2,'Prior Year Amounts'!$K$325:$GB$344,13,FALSE)))</f>
        <v/>
      </c>
      <c r="D54" s="107" t="str">
        <f t="shared" si="5"/>
        <v/>
      </c>
      <c r="E54" s="105"/>
      <c r="F54" s="105"/>
      <c r="G54" s="105"/>
      <c r="H54" s="105"/>
      <c r="I54" s="105"/>
    </row>
    <row r="55" spans="1:9">
      <c r="A55" s="19" t="s">
        <v>512</v>
      </c>
      <c r="B55" s="107">
        <f t="shared" si="9"/>
        <v>0</v>
      </c>
      <c r="C55" s="107" t="str">
        <f>IF(ISNA(HLOOKUP($B$2,'Prior Year Amounts'!$K$325:$GB$344,14,FALSE)),"",(HLOOKUP($B$2,'Prior Year Amounts'!$K$325:$GB$344,14,FALSE)))</f>
        <v/>
      </c>
      <c r="D55" s="107" t="str">
        <f t="shared" si="5"/>
        <v/>
      </c>
      <c r="E55" s="105"/>
      <c r="F55" s="105"/>
      <c r="G55" s="105"/>
      <c r="H55" s="105"/>
      <c r="I55" s="105"/>
    </row>
    <row r="56" spans="1:9">
      <c r="A56" s="19" t="s">
        <v>590</v>
      </c>
      <c r="B56" s="107">
        <f t="shared" si="9"/>
        <v>0</v>
      </c>
      <c r="C56" s="107" t="str">
        <f>IF(ISNA(HLOOKUP($B$2,'Prior Year Amounts'!$K$325:$GB$344,15,FALSE)),"",(HLOOKUP($B$2,'Prior Year Amounts'!$K$325:$GB$344,15,FALSE)))</f>
        <v/>
      </c>
      <c r="D56" s="107" t="str">
        <f t="shared" si="5"/>
        <v/>
      </c>
      <c r="E56" s="105"/>
      <c r="F56" s="105"/>
      <c r="G56" s="105"/>
      <c r="H56" s="105"/>
      <c r="I56" s="105"/>
    </row>
    <row r="57" spans="1:9">
      <c r="A57" s="19" t="s">
        <v>437</v>
      </c>
      <c r="B57" s="107">
        <f t="shared" si="9"/>
        <v>0</v>
      </c>
      <c r="C57" s="107" t="str">
        <f>IF(ISNA(HLOOKUP($B$2,'Prior Year Amounts'!$K$325:$GB$344,16,FALSE)),"",(HLOOKUP($B$2,'Prior Year Amounts'!$K$325:$GB$344,16,FALSE)))</f>
        <v/>
      </c>
      <c r="D57" s="107" t="str">
        <f t="shared" si="5"/>
        <v/>
      </c>
      <c r="E57" s="105"/>
      <c r="F57" s="105"/>
      <c r="G57" s="105"/>
      <c r="H57" s="105"/>
      <c r="I57" s="105"/>
    </row>
    <row r="58" spans="1:9">
      <c r="A58" s="19" t="s">
        <v>437</v>
      </c>
      <c r="B58" s="107">
        <f t="shared" si="9"/>
        <v>0</v>
      </c>
      <c r="C58" s="107" t="str">
        <f>IF(ISNA(HLOOKUP($B$2,'Prior Year Amounts'!$K$325:$GB$344,17,FALSE)),"",(HLOOKUP($B$2,'Prior Year Amounts'!$K$325:$GB$344,17,FALSE)))</f>
        <v/>
      </c>
      <c r="D58" s="107" t="str">
        <f t="shared" si="5"/>
        <v/>
      </c>
      <c r="E58" s="105"/>
      <c r="F58" s="105"/>
      <c r="G58" s="105"/>
      <c r="H58" s="105"/>
      <c r="I58" s="105"/>
    </row>
    <row r="59" spans="1:9">
      <c r="A59" s="19" t="s">
        <v>437</v>
      </c>
      <c r="B59" s="107">
        <f t="shared" si="9"/>
        <v>0</v>
      </c>
      <c r="C59" s="107" t="str">
        <f>IF(ISNA(HLOOKUP($B$2,'Prior Year Amounts'!$K$325:$GB$344,18,FALSE)),"",(HLOOKUP($B$2,'Prior Year Amounts'!$K$325:$GB$344,18,FALSE)))</f>
        <v/>
      </c>
      <c r="D59" s="107" t="str">
        <f t="shared" si="5"/>
        <v/>
      </c>
      <c r="E59" s="105"/>
      <c r="F59" s="105"/>
      <c r="G59" s="105"/>
      <c r="H59" s="105"/>
      <c r="I59" s="105"/>
    </row>
    <row r="60" spans="1:9">
      <c r="A60" s="19" t="s">
        <v>437</v>
      </c>
      <c r="B60" s="107">
        <f t="shared" si="9"/>
        <v>0</v>
      </c>
      <c r="C60" s="107" t="str">
        <f>IF(ISNA(HLOOKUP($B$2,'Prior Year Amounts'!$K$325:$GB$344,19,FALSE)),"",(HLOOKUP($B$2,'Prior Year Amounts'!$K$325:$GB$344,19,FALSE)))</f>
        <v/>
      </c>
      <c r="D60" s="107" t="str">
        <f t="shared" si="5"/>
        <v/>
      </c>
      <c r="E60" s="105"/>
      <c r="F60" s="105"/>
      <c r="G60" s="105"/>
      <c r="H60" s="105"/>
      <c r="I60" s="105"/>
    </row>
    <row r="61" spans="1:9" ht="13.5" thickBot="1">
      <c r="A61" s="32" t="s">
        <v>97</v>
      </c>
      <c r="B61" s="108">
        <f>SUM(B44:B60)</f>
        <v>0</v>
      </c>
      <c r="C61" s="108">
        <f>SUM(C44:C60)</f>
        <v>0</v>
      </c>
      <c r="D61" s="108">
        <f>SUM(D44:D60)</f>
        <v>0</v>
      </c>
      <c r="E61" s="105"/>
      <c r="F61" s="105"/>
      <c r="G61" s="105"/>
      <c r="H61" s="105"/>
      <c r="I61" s="105"/>
    </row>
    <row r="62" spans="1:9" ht="13.5" thickTop="1">
      <c r="A62" s="131"/>
      <c r="B62" s="274"/>
      <c r="C62" s="274"/>
      <c r="D62" s="274"/>
      <c r="E62" s="105"/>
      <c r="F62" s="105"/>
      <c r="G62" s="105"/>
      <c r="H62" s="105"/>
      <c r="I62" s="105"/>
    </row>
    <row r="63" spans="1:9" hidden="1">
      <c r="A63" s="704"/>
      <c r="B63" s="105"/>
      <c r="C63" s="105"/>
      <c r="D63" s="105"/>
      <c r="E63" s="105"/>
      <c r="F63" s="105"/>
      <c r="G63" s="105"/>
      <c r="H63" s="105"/>
      <c r="I63" s="105"/>
    </row>
    <row r="64" spans="1:9">
      <c r="A64" s="679" t="s">
        <v>1666</v>
      </c>
      <c r="B64" s="679"/>
      <c r="C64" s="679"/>
      <c r="D64" s="706"/>
      <c r="E64" s="679"/>
      <c r="F64" s="679"/>
      <c r="G64" s="679"/>
      <c r="H64" s="679"/>
      <c r="I64" s="707"/>
    </row>
    <row r="65" spans="1:12" ht="45" customHeight="1">
      <c r="A65" s="1421" t="str">
        <f>IF(OR(D61&gt;0,D61&lt;0),"Answer Required","N/A")</f>
        <v>N/A</v>
      </c>
      <c r="B65" s="1422"/>
      <c r="C65" s="1422"/>
      <c r="D65" s="1422"/>
      <c r="E65" s="1422"/>
      <c r="F65" s="1422"/>
      <c r="G65" s="1423"/>
      <c r="H65" s="374"/>
      <c r="I65" s="708"/>
    </row>
    <row r="66" spans="1:12" ht="12.75" customHeight="1">
      <c r="A66" s="914"/>
      <c r="B66" s="914"/>
      <c r="C66" s="914"/>
      <c r="D66" s="914"/>
      <c r="E66" s="914"/>
      <c r="F66" s="915"/>
      <c r="G66" s="915"/>
      <c r="H66" s="905"/>
      <c r="I66" s="916"/>
      <c r="J66" s="348"/>
      <c r="K66" s="348"/>
      <c r="L66" s="348"/>
    </row>
    <row r="67" spans="1:12">
      <c r="A67" s="709" t="s">
        <v>619</v>
      </c>
      <c r="B67" s="710"/>
      <c r="C67" s="710"/>
      <c r="D67" s="710"/>
    </row>
    <row r="69" spans="1:12" hidden="1"/>
    <row r="70" spans="1:12">
      <c r="A70" s="23"/>
    </row>
    <row r="71" spans="1:12">
      <c r="A71" s="23"/>
      <c r="B71" s="1400" t="s">
        <v>1329</v>
      </c>
      <c r="C71" s="1400"/>
      <c r="D71" s="1400"/>
      <c r="E71" s="1401" t="s">
        <v>1330</v>
      </c>
      <c r="F71" s="1401"/>
      <c r="G71" s="1401"/>
      <c r="H71" s="1401" t="s">
        <v>1373</v>
      </c>
      <c r="I71" s="1401"/>
      <c r="J71" s="1401"/>
      <c r="K71" s="805"/>
    </row>
    <row r="72" spans="1:12">
      <c r="A72" s="32" t="s">
        <v>98</v>
      </c>
      <c r="B72" s="711" t="s">
        <v>99</v>
      </c>
      <c r="C72" s="711" t="s">
        <v>100</v>
      </c>
      <c r="D72" s="712" t="s">
        <v>579</v>
      </c>
      <c r="E72" s="711" t="s">
        <v>99</v>
      </c>
      <c r="F72" s="711" t="s">
        <v>100</v>
      </c>
      <c r="G72" s="712" t="s">
        <v>579</v>
      </c>
      <c r="H72" s="711" t="s">
        <v>99</v>
      </c>
      <c r="I72" s="711" t="s">
        <v>100</v>
      </c>
      <c r="J72" s="712" t="s">
        <v>579</v>
      </c>
      <c r="K72" s="808" t="s">
        <v>1379</v>
      </c>
    </row>
    <row r="73" spans="1:12">
      <c r="A73" s="713">
        <v>2025</v>
      </c>
      <c r="B73" s="40"/>
      <c r="C73" s="40"/>
      <c r="D73" s="31">
        <f t="shared" ref="D73:D93" si="10">SUM(B73:C73)</f>
        <v>0</v>
      </c>
      <c r="E73" s="40"/>
      <c r="F73" s="40"/>
      <c r="G73" s="31">
        <f t="shared" ref="G73:G93" si="11">SUM(E73:F73)</f>
        <v>0</v>
      </c>
      <c r="H73" s="697">
        <f t="shared" ref="H73:H90" si="12">B73+E73</f>
        <v>0</v>
      </c>
      <c r="I73" s="697">
        <f>C73+F73</f>
        <v>0</v>
      </c>
      <c r="J73" s="31">
        <f>SUM(H73:I73)</f>
        <v>0</v>
      </c>
      <c r="K73" s="807">
        <f>B73+E73-F18</f>
        <v>0</v>
      </c>
    </row>
    <row r="74" spans="1:12">
      <c r="A74" s="713">
        <v>2026</v>
      </c>
      <c r="B74" s="40"/>
      <c r="C74" s="40"/>
      <c r="D74" s="31">
        <f t="shared" si="10"/>
        <v>0</v>
      </c>
      <c r="E74" s="40"/>
      <c r="F74" s="40"/>
      <c r="G74" s="31">
        <f t="shared" si="11"/>
        <v>0</v>
      </c>
      <c r="H74" s="697">
        <f t="shared" si="12"/>
        <v>0</v>
      </c>
      <c r="I74" s="697">
        <f t="shared" ref="I74:I90" si="13">C74+F74</f>
        <v>0</v>
      </c>
      <c r="J74" s="31">
        <f t="shared" ref="J74:J90" si="14">SUM(H74:I74)</f>
        <v>0</v>
      </c>
    </row>
    <row r="75" spans="1:12">
      <c r="A75" s="32">
        <v>2027</v>
      </c>
      <c r="B75" s="40"/>
      <c r="C75" s="40"/>
      <c r="D75" s="31">
        <f t="shared" si="10"/>
        <v>0</v>
      </c>
      <c r="E75" s="40"/>
      <c r="F75" s="40"/>
      <c r="G75" s="31">
        <f t="shared" si="11"/>
        <v>0</v>
      </c>
      <c r="H75" s="697">
        <f t="shared" si="12"/>
        <v>0</v>
      </c>
      <c r="I75" s="697">
        <f t="shared" si="13"/>
        <v>0</v>
      </c>
      <c r="J75" s="31">
        <f t="shared" si="14"/>
        <v>0</v>
      </c>
    </row>
    <row r="76" spans="1:12">
      <c r="A76" s="32">
        <v>2028</v>
      </c>
      <c r="B76" s="40"/>
      <c r="C76" s="40"/>
      <c r="D76" s="31">
        <f t="shared" si="10"/>
        <v>0</v>
      </c>
      <c r="E76" s="40"/>
      <c r="F76" s="40"/>
      <c r="G76" s="31">
        <f t="shared" si="11"/>
        <v>0</v>
      </c>
      <c r="H76" s="697">
        <f t="shared" si="12"/>
        <v>0</v>
      </c>
      <c r="I76" s="697">
        <f t="shared" si="13"/>
        <v>0</v>
      </c>
      <c r="J76" s="31">
        <f t="shared" si="14"/>
        <v>0</v>
      </c>
    </row>
    <row r="77" spans="1:12">
      <c r="A77" s="32">
        <v>2029</v>
      </c>
      <c r="B77" s="40"/>
      <c r="C77" s="40"/>
      <c r="D77" s="31">
        <f t="shared" si="10"/>
        <v>0</v>
      </c>
      <c r="E77" s="40"/>
      <c r="F77" s="40"/>
      <c r="G77" s="31">
        <f t="shared" si="11"/>
        <v>0</v>
      </c>
      <c r="H77" s="697">
        <f t="shared" si="12"/>
        <v>0</v>
      </c>
      <c r="I77" s="697">
        <f t="shared" si="13"/>
        <v>0</v>
      </c>
      <c r="J77" s="31">
        <f t="shared" si="14"/>
        <v>0</v>
      </c>
    </row>
    <row r="78" spans="1:12">
      <c r="A78" s="32" t="s">
        <v>1820</v>
      </c>
      <c r="B78" s="40"/>
      <c r="C78" s="40"/>
      <c r="D78" s="31">
        <f t="shared" si="10"/>
        <v>0</v>
      </c>
      <c r="E78" s="40"/>
      <c r="F78" s="40"/>
      <c r="G78" s="31">
        <f t="shared" si="11"/>
        <v>0</v>
      </c>
      <c r="H78" s="697">
        <f t="shared" si="12"/>
        <v>0</v>
      </c>
      <c r="I78" s="697">
        <f t="shared" si="13"/>
        <v>0</v>
      </c>
      <c r="J78" s="31">
        <f t="shared" si="14"/>
        <v>0</v>
      </c>
    </row>
    <row r="79" spans="1:12">
      <c r="A79" s="32" t="s">
        <v>1821</v>
      </c>
      <c r="B79" s="40"/>
      <c r="C79" s="40"/>
      <c r="D79" s="31">
        <f t="shared" si="10"/>
        <v>0</v>
      </c>
      <c r="E79" s="40"/>
      <c r="F79" s="40"/>
      <c r="G79" s="31">
        <f t="shared" si="11"/>
        <v>0</v>
      </c>
      <c r="H79" s="697">
        <f t="shared" si="12"/>
        <v>0</v>
      </c>
      <c r="I79" s="697">
        <f t="shared" si="13"/>
        <v>0</v>
      </c>
      <c r="J79" s="31">
        <f t="shared" si="14"/>
        <v>0</v>
      </c>
    </row>
    <row r="80" spans="1:12">
      <c r="A80" s="32" t="s">
        <v>1822</v>
      </c>
      <c r="B80" s="40"/>
      <c r="C80" s="40"/>
      <c r="D80" s="31">
        <f t="shared" si="10"/>
        <v>0</v>
      </c>
      <c r="E80" s="40"/>
      <c r="F80" s="40"/>
      <c r="G80" s="31">
        <f t="shared" si="11"/>
        <v>0</v>
      </c>
      <c r="H80" s="697">
        <f t="shared" si="12"/>
        <v>0</v>
      </c>
      <c r="I80" s="697">
        <f t="shared" si="13"/>
        <v>0</v>
      </c>
      <c r="J80" s="31">
        <f t="shared" si="14"/>
        <v>0</v>
      </c>
    </row>
    <row r="81" spans="1:15">
      <c r="A81" s="32" t="s">
        <v>1868</v>
      </c>
      <c r="B81" s="40"/>
      <c r="C81" s="40"/>
      <c r="D81" s="31">
        <f t="shared" si="10"/>
        <v>0</v>
      </c>
      <c r="E81" s="40"/>
      <c r="F81" s="40"/>
      <c r="G81" s="31">
        <f t="shared" si="11"/>
        <v>0</v>
      </c>
      <c r="H81" s="697">
        <f t="shared" si="12"/>
        <v>0</v>
      </c>
      <c r="I81" s="697">
        <f t="shared" si="13"/>
        <v>0</v>
      </c>
      <c r="J81" s="31">
        <f t="shared" si="14"/>
        <v>0</v>
      </c>
    </row>
    <row r="82" spans="1:15">
      <c r="A82" s="32" t="s">
        <v>1823</v>
      </c>
      <c r="B82" s="40"/>
      <c r="C82" s="40"/>
      <c r="D82" s="31">
        <f t="shared" si="10"/>
        <v>0</v>
      </c>
      <c r="E82" s="40"/>
      <c r="F82" s="40"/>
      <c r="G82" s="31">
        <f t="shared" si="11"/>
        <v>0</v>
      </c>
      <c r="H82" s="697">
        <f t="shared" si="12"/>
        <v>0</v>
      </c>
      <c r="I82" s="697">
        <f t="shared" si="13"/>
        <v>0</v>
      </c>
      <c r="J82" s="31">
        <f t="shared" si="14"/>
        <v>0</v>
      </c>
    </row>
    <row r="83" spans="1:15">
      <c r="A83" s="32" t="s">
        <v>1824</v>
      </c>
      <c r="B83" s="40"/>
      <c r="C83" s="40"/>
      <c r="D83" s="31">
        <f t="shared" si="10"/>
        <v>0</v>
      </c>
      <c r="E83" s="40"/>
      <c r="F83" s="40"/>
      <c r="G83" s="31">
        <f t="shared" si="11"/>
        <v>0</v>
      </c>
      <c r="H83" s="697">
        <f t="shared" si="12"/>
        <v>0</v>
      </c>
      <c r="I83" s="697">
        <f t="shared" si="13"/>
        <v>0</v>
      </c>
      <c r="J83" s="31">
        <f t="shared" si="14"/>
        <v>0</v>
      </c>
    </row>
    <row r="84" spans="1:15">
      <c r="A84" s="32" t="s">
        <v>1869</v>
      </c>
      <c r="B84" s="40"/>
      <c r="C84" s="40"/>
      <c r="D84" s="31">
        <f t="shared" si="10"/>
        <v>0</v>
      </c>
      <c r="E84" s="40"/>
      <c r="F84" s="40"/>
      <c r="G84" s="31">
        <f t="shared" si="11"/>
        <v>0</v>
      </c>
      <c r="H84" s="697">
        <f t="shared" si="12"/>
        <v>0</v>
      </c>
      <c r="I84" s="697">
        <f t="shared" si="13"/>
        <v>0</v>
      </c>
      <c r="J84" s="31">
        <f t="shared" si="14"/>
        <v>0</v>
      </c>
    </row>
    <row r="85" spans="1:15">
      <c r="A85" s="32" t="s">
        <v>1825</v>
      </c>
      <c r="B85" s="40"/>
      <c r="C85" s="40"/>
      <c r="D85" s="31">
        <f t="shared" si="10"/>
        <v>0</v>
      </c>
      <c r="E85" s="40"/>
      <c r="F85" s="40"/>
      <c r="G85" s="31">
        <f t="shared" si="11"/>
        <v>0</v>
      </c>
      <c r="H85" s="697">
        <f t="shared" si="12"/>
        <v>0</v>
      </c>
      <c r="I85" s="697">
        <f t="shared" si="13"/>
        <v>0</v>
      </c>
      <c r="J85" s="31">
        <f t="shared" si="14"/>
        <v>0</v>
      </c>
    </row>
    <row r="86" spans="1:15">
      <c r="A86" s="32" t="s">
        <v>1826</v>
      </c>
      <c r="B86" s="40"/>
      <c r="C86" s="40"/>
      <c r="D86" s="31">
        <f t="shared" si="10"/>
        <v>0</v>
      </c>
      <c r="E86" s="40"/>
      <c r="F86" s="40"/>
      <c r="G86" s="31">
        <f t="shared" si="11"/>
        <v>0</v>
      </c>
      <c r="H86" s="697">
        <f t="shared" si="12"/>
        <v>0</v>
      </c>
      <c r="I86" s="697">
        <f t="shared" si="13"/>
        <v>0</v>
      </c>
      <c r="J86" s="31">
        <f t="shared" si="14"/>
        <v>0</v>
      </c>
    </row>
    <row r="87" spans="1:15">
      <c r="A87" s="32" t="s">
        <v>1827</v>
      </c>
      <c r="B87" s="40"/>
      <c r="C87" s="40"/>
      <c r="D87" s="31">
        <f t="shared" si="10"/>
        <v>0</v>
      </c>
      <c r="E87" s="40"/>
      <c r="F87" s="40"/>
      <c r="G87" s="31">
        <f t="shared" si="11"/>
        <v>0</v>
      </c>
      <c r="H87" s="697">
        <f t="shared" si="12"/>
        <v>0</v>
      </c>
      <c r="I87" s="697">
        <f t="shared" si="13"/>
        <v>0</v>
      </c>
      <c r="J87" s="31">
        <f t="shared" si="14"/>
        <v>0</v>
      </c>
    </row>
    <row r="88" spans="1:15">
      <c r="A88" s="32" t="s">
        <v>1828</v>
      </c>
      <c r="B88" s="40"/>
      <c r="C88" s="40"/>
      <c r="D88" s="31">
        <f t="shared" si="10"/>
        <v>0</v>
      </c>
      <c r="E88" s="40"/>
      <c r="F88" s="40"/>
      <c r="G88" s="31">
        <f t="shared" si="11"/>
        <v>0</v>
      </c>
      <c r="H88" s="697">
        <f t="shared" si="12"/>
        <v>0</v>
      </c>
      <c r="I88" s="697">
        <f t="shared" si="13"/>
        <v>0</v>
      </c>
      <c r="J88" s="31">
        <f t="shared" si="14"/>
        <v>0</v>
      </c>
    </row>
    <row r="89" spans="1:15">
      <c r="A89" s="32" t="s">
        <v>1829</v>
      </c>
      <c r="B89" s="40"/>
      <c r="C89" s="40"/>
      <c r="D89" s="31">
        <f t="shared" si="10"/>
        <v>0</v>
      </c>
      <c r="E89" s="40"/>
      <c r="F89" s="40"/>
      <c r="G89" s="31">
        <f t="shared" si="11"/>
        <v>0</v>
      </c>
      <c r="H89" s="697">
        <f t="shared" si="12"/>
        <v>0</v>
      </c>
      <c r="I89" s="697">
        <f t="shared" si="13"/>
        <v>0</v>
      </c>
      <c r="J89" s="31">
        <f t="shared" si="14"/>
        <v>0</v>
      </c>
    </row>
    <row r="90" spans="1:15" ht="30.75" customHeight="1">
      <c r="A90" s="793" t="s">
        <v>513</v>
      </c>
      <c r="B90" s="40"/>
      <c r="C90" s="697"/>
      <c r="D90" s="31">
        <f t="shared" si="10"/>
        <v>0</v>
      </c>
      <c r="E90" s="40"/>
      <c r="F90" s="697"/>
      <c r="G90" s="31">
        <f t="shared" si="11"/>
        <v>0</v>
      </c>
      <c r="H90" s="697">
        <f t="shared" si="12"/>
        <v>0</v>
      </c>
      <c r="I90" s="697">
        <f t="shared" si="13"/>
        <v>0</v>
      </c>
      <c r="J90" s="31">
        <f t="shared" si="14"/>
        <v>0</v>
      </c>
    </row>
    <row r="91" spans="1:15" ht="27.75" customHeight="1">
      <c r="A91" s="793" t="s">
        <v>155</v>
      </c>
      <c r="B91" s="40"/>
      <c r="C91" s="697"/>
      <c r="D91" s="31">
        <f t="shared" si="10"/>
        <v>0</v>
      </c>
      <c r="E91" s="40"/>
      <c r="F91" s="697"/>
      <c r="G91" s="31">
        <f t="shared" si="11"/>
        <v>0</v>
      </c>
      <c r="H91" s="697">
        <f>B91+E91</f>
        <v>0</v>
      </c>
      <c r="I91" s="697">
        <f>C91+F91</f>
        <v>0</v>
      </c>
      <c r="J91" s="31">
        <f>SUM(H91:I91)</f>
        <v>0</v>
      </c>
      <c r="O91" s="239"/>
    </row>
    <row r="92" spans="1:15" ht="48.75" hidden="1" customHeight="1">
      <c r="A92" s="32"/>
      <c r="B92" s="715"/>
      <c r="C92" s="716"/>
      <c r="D92" s="31">
        <f t="shared" si="10"/>
        <v>0</v>
      </c>
      <c r="E92" s="715"/>
      <c r="F92" s="716"/>
      <c r="G92" s="31">
        <f t="shared" si="11"/>
        <v>0</v>
      </c>
      <c r="H92" s="715"/>
      <c r="I92" s="716"/>
      <c r="J92" s="31">
        <f t="shared" ref="J92:J93" si="15">SUM(H92:I92)</f>
        <v>0</v>
      </c>
    </row>
    <row r="93" spans="1:15" ht="29.25" hidden="1" customHeight="1" thickBot="1">
      <c r="A93" s="740" t="s">
        <v>156</v>
      </c>
      <c r="B93" s="717"/>
      <c r="C93" s="718"/>
      <c r="D93" s="719">
        <f t="shared" si="10"/>
        <v>0</v>
      </c>
      <c r="E93" s="717"/>
      <c r="F93" s="718"/>
      <c r="G93" s="719">
        <f t="shared" si="11"/>
        <v>0</v>
      </c>
      <c r="H93" s="717"/>
      <c r="I93" s="718"/>
      <c r="J93" s="719">
        <f t="shared" si="15"/>
        <v>0</v>
      </c>
    </row>
    <row r="94" spans="1:15">
      <c r="B94" s="67"/>
      <c r="C94" s="67"/>
      <c r="E94" s="67"/>
      <c r="F94" s="67"/>
      <c r="H94" s="67"/>
      <c r="I94" s="67"/>
    </row>
    <row r="95" spans="1:15" ht="13.5" thickBot="1">
      <c r="A95" s="32" t="s">
        <v>579</v>
      </c>
      <c r="B95" s="720">
        <f>IF(SUM($B$73:$B$91)=($J$18),SUM($B$73:$B$91),"ERROR")</f>
        <v>0</v>
      </c>
      <c r="C95" s="720">
        <f>SUM(C73:C91)</f>
        <v>0</v>
      </c>
      <c r="D95" s="720">
        <f>SUM(D73:D91)</f>
        <v>0</v>
      </c>
      <c r="E95" s="720">
        <f>IF(SUM($E$73:$E$91)=(SUM($I$18)),SUM($E$73:$E$91),"ERROR")</f>
        <v>0</v>
      </c>
      <c r="F95" s="720">
        <f>SUM(F73:F91)</f>
        <v>0</v>
      </c>
      <c r="G95" s="720">
        <f>SUM(G73:G91)</f>
        <v>0</v>
      </c>
      <c r="H95" s="720">
        <f>IF(SUM($H$73:$H$91)=('Component Unit Template'!K158+'Component Unit Template'!K179),SUM($H$73:$H$91),"ERROR")</f>
        <v>0</v>
      </c>
      <c r="I95" s="720">
        <f>SUM(I73:I91)</f>
        <v>0</v>
      </c>
      <c r="J95" s="720">
        <f>SUM(J73:J91)</f>
        <v>0</v>
      </c>
    </row>
    <row r="96" spans="1:15" ht="19.5" customHeight="1" thickTop="1">
      <c r="A96" s="133" t="s">
        <v>47</v>
      </c>
      <c r="B96" s="721">
        <f>(SUM(B73:B91))-SUM(J18)</f>
        <v>0</v>
      </c>
      <c r="E96" s="721">
        <f>(SUM(E73:E91))-SUM(I18)</f>
        <v>0</v>
      </c>
      <c r="H96" s="721">
        <f>(SUM(H73:H91))-SUM('Component Unit Template'!K158+'Component Unit Template'!K179)</f>
        <v>0</v>
      </c>
    </row>
    <row r="97" spans="1:12" ht="25.5">
      <c r="J97" s="705" t="s">
        <v>1431</v>
      </c>
      <c r="K97" s="705" t="s">
        <v>1432</v>
      </c>
      <c r="L97" s="844" t="s">
        <v>579</v>
      </c>
    </row>
    <row r="98" spans="1:12">
      <c r="J98" s="932" t="str">
        <f>IF(OR($H$95&gt;0,$H$95&lt;0),"Answer Required","N/A")</f>
        <v>N/A</v>
      </c>
      <c r="K98" s="932" t="str">
        <f>IF(OR($H$95&gt;0,$H$95&lt;0),"Answer Required","N/A")</f>
        <v>N/A</v>
      </c>
      <c r="L98" s="933">
        <f>IF(SUM($J$98:$K$98)=(SUM($H$73:$H$91)),SUM($J$98:$K$98),"ERROR")</f>
        <v>0</v>
      </c>
    </row>
    <row r="105" spans="1:12" ht="15" customHeight="1">
      <c r="A105" s="18" t="s">
        <v>292</v>
      </c>
      <c r="E105" s="275" t="s">
        <v>37</v>
      </c>
    </row>
    <row r="106" spans="1:12">
      <c r="A106" s="19" t="s">
        <v>723</v>
      </c>
      <c r="E106" s="380" t="str">
        <f>IF(B1="","","Answer Required")</f>
        <v/>
      </c>
    </row>
    <row r="107" spans="1:12">
      <c r="B107" s="19" t="s">
        <v>1287</v>
      </c>
    </row>
    <row r="108" spans="1:12">
      <c r="B108" s="19" t="s">
        <v>1288</v>
      </c>
    </row>
    <row r="109" spans="1:12">
      <c r="D109" s="32" t="s">
        <v>469</v>
      </c>
      <c r="E109" s="40" t="str">
        <f>IF(E106="yes","Answer Required","N/A")</f>
        <v>N/A</v>
      </c>
    </row>
    <row r="111" spans="1:12">
      <c r="A111" s="18" t="s">
        <v>293</v>
      </c>
    </row>
    <row r="112" spans="1:12">
      <c r="E112" s="32" t="s">
        <v>514</v>
      </c>
    </row>
    <row r="113" spans="1:8">
      <c r="A113" s="174" t="s">
        <v>1298</v>
      </c>
      <c r="B113" s="19" t="s">
        <v>162</v>
      </c>
      <c r="E113" s="714" t="str">
        <f>IF(D95&lt;&gt;0,"Answer Required","N/A")</f>
        <v>N/A</v>
      </c>
    </row>
    <row r="114" spans="1:8">
      <c r="B114" s="19" t="s">
        <v>161</v>
      </c>
      <c r="E114" s="714" t="str">
        <f>IF(D95&lt;&gt;0,"Answer Required","N/A")</f>
        <v>N/A</v>
      </c>
    </row>
    <row r="115" spans="1:8">
      <c r="D115" s="32"/>
    </row>
    <row r="116" spans="1:8">
      <c r="A116" s="174" t="s">
        <v>1302</v>
      </c>
      <c r="C116" s="23" t="s">
        <v>1299</v>
      </c>
      <c r="D116" s="23" t="s">
        <v>1300</v>
      </c>
      <c r="E116" s="19" t="s">
        <v>1301</v>
      </c>
    </row>
    <row r="117" spans="1:8">
      <c r="C117" s="508"/>
      <c r="D117" s="509"/>
      <c r="E117" s="714" t="str">
        <f>IF(D117&lt;&gt;0,"Answer Required","N/A")</f>
        <v>N/A</v>
      </c>
    </row>
    <row r="118" spans="1:8">
      <c r="C118" s="508"/>
      <c r="D118" s="509"/>
      <c r="E118" s="714" t="str">
        <f>IF(D118&lt;&gt;0,"Answer Required","N/A")</f>
        <v>N/A</v>
      </c>
    </row>
    <row r="120" spans="1:8">
      <c r="D120" s="19" t="s">
        <v>1303</v>
      </c>
      <c r="E120" s="23" t="s">
        <v>1304</v>
      </c>
    </row>
    <row r="121" spans="1:8">
      <c r="A121" s="174" t="s">
        <v>163</v>
      </c>
      <c r="B121" s="19" t="s">
        <v>164</v>
      </c>
      <c r="D121" s="251" t="str">
        <f>IF(C95&lt;&gt;0,"Answer Required","N/A")</f>
        <v>N/A</v>
      </c>
      <c r="E121" s="251" t="str">
        <f>IF(D95&lt;&gt;0,"Answer Required","N/A")</f>
        <v>N/A</v>
      </c>
    </row>
    <row r="122" spans="1:8">
      <c r="B122" s="19" t="s">
        <v>165</v>
      </c>
      <c r="D122" s="251" t="str">
        <f>IF(C95&lt;&gt;0,"Answer Required","N/A")</f>
        <v>N/A</v>
      </c>
      <c r="E122" s="251" t="str">
        <f>IF(D95&lt;&gt;0,"Answer Required","N/A")</f>
        <v>N/A</v>
      </c>
    </row>
    <row r="125" spans="1:8">
      <c r="A125" s="19" t="s">
        <v>312</v>
      </c>
      <c r="E125" s="40" t="str">
        <f>IF(D95&lt;&gt;0,"Answer Required","N/A")</f>
        <v>N/A</v>
      </c>
    </row>
    <row r="128" spans="1:8">
      <c r="F128" s="348"/>
      <c r="G128" s="348"/>
      <c r="H128" s="348"/>
    </row>
    <row r="129" spans="1:6">
      <c r="A129" s="709" t="s">
        <v>1332</v>
      </c>
      <c r="B129" s="710"/>
      <c r="C129" s="710"/>
      <c r="D129" s="710"/>
      <c r="E129" s="710"/>
    </row>
    <row r="130" spans="1:6">
      <c r="A130" s="32" t="s">
        <v>98</v>
      </c>
      <c r="B130" s="23" t="s">
        <v>99</v>
      </c>
      <c r="C130" s="23" t="s">
        <v>100</v>
      </c>
      <c r="D130" s="23" t="s">
        <v>579</v>
      </c>
      <c r="F130" s="805" t="s">
        <v>1366</v>
      </c>
    </row>
    <row r="131" spans="1:6">
      <c r="A131" s="713">
        <f>A73</f>
        <v>2025</v>
      </c>
      <c r="B131" s="40"/>
      <c r="C131" s="40"/>
      <c r="D131" s="722">
        <f>IF(B131='Component Unit Template'!K159,SUM(B131:C131),"ERROR")</f>
        <v>0</v>
      </c>
      <c r="F131" s="807">
        <f>B131-F19</f>
        <v>0</v>
      </c>
    </row>
    <row r="132" spans="1:6">
      <c r="A132" s="713">
        <f t="shared" ref="A132:A147" si="16">A74</f>
        <v>2026</v>
      </c>
      <c r="B132" s="40"/>
      <c r="C132" s="40"/>
      <c r="D132" s="722">
        <f t="shared" ref="D132:D147" si="17">SUM(B132:C132)</f>
        <v>0</v>
      </c>
    </row>
    <row r="133" spans="1:6">
      <c r="A133" s="713">
        <f t="shared" si="16"/>
        <v>2027</v>
      </c>
      <c r="B133" s="40"/>
      <c r="C133" s="40"/>
      <c r="D133" s="722">
        <f t="shared" si="17"/>
        <v>0</v>
      </c>
    </row>
    <row r="134" spans="1:6">
      <c r="A134" s="713">
        <f t="shared" si="16"/>
        <v>2028</v>
      </c>
      <c r="B134" s="40"/>
      <c r="C134" s="40"/>
      <c r="D134" s="722">
        <f t="shared" si="17"/>
        <v>0</v>
      </c>
    </row>
    <row r="135" spans="1:6">
      <c r="A135" s="713">
        <f t="shared" si="16"/>
        <v>2029</v>
      </c>
      <c r="B135" s="40"/>
      <c r="C135" s="40"/>
      <c r="D135" s="722">
        <f t="shared" si="17"/>
        <v>0</v>
      </c>
    </row>
    <row r="136" spans="1:6">
      <c r="A136" s="713" t="str">
        <f t="shared" si="16"/>
        <v>2030-2034</v>
      </c>
      <c r="B136" s="40"/>
      <c r="C136" s="40"/>
      <c r="D136" s="722">
        <f t="shared" si="17"/>
        <v>0</v>
      </c>
    </row>
    <row r="137" spans="1:6">
      <c r="A137" s="713" t="str">
        <f t="shared" si="16"/>
        <v>2035-2039</v>
      </c>
      <c r="B137" s="40"/>
      <c r="C137" s="40"/>
      <c r="D137" s="722">
        <f t="shared" si="17"/>
        <v>0</v>
      </c>
    </row>
    <row r="138" spans="1:6">
      <c r="A138" s="713" t="str">
        <f t="shared" si="16"/>
        <v>2040-2044</v>
      </c>
      <c r="B138" s="40"/>
      <c r="C138" s="40"/>
      <c r="D138" s="722">
        <f t="shared" si="17"/>
        <v>0</v>
      </c>
    </row>
    <row r="139" spans="1:6">
      <c r="A139" s="713" t="str">
        <f t="shared" si="16"/>
        <v>2045-2049</v>
      </c>
      <c r="B139" s="40"/>
      <c r="C139" s="40"/>
      <c r="D139" s="722">
        <f t="shared" si="17"/>
        <v>0</v>
      </c>
    </row>
    <row r="140" spans="1:6">
      <c r="A140" s="713" t="str">
        <f t="shared" si="16"/>
        <v>2050-2054</v>
      </c>
      <c r="B140" s="40"/>
      <c r="C140" s="40"/>
      <c r="D140" s="722">
        <f t="shared" si="17"/>
        <v>0</v>
      </c>
    </row>
    <row r="141" spans="1:6">
      <c r="A141" s="713" t="str">
        <f t="shared" si="16"/>
        <v>2055-2059</v>
      </c>
      <c r="B141" s="40"/>
      <c r="C141" s="40"/>
      <c r="D141" s="722">
        <f t="shared" si="17"/>
        <v>0</v>
      </c>
    </row>
    <row r="142" spans="1:6">
      <c r="A142" s="713" t="str">
        <f t="shared" si="16"/>
        <v>2060-2064</v>
      </c>
      <c r="B142" s="40"/>
      <c r="C142" s="40"/>
      <c r="D142" s="722">
        <f t="shared" si="17"/>
        <v>0</v>
      </c>
    </row>
    <row r="143" spans="1:6">
      <c r="A143" s="713" t="str">
        <f t="shared" si="16"/>
        <v>2065-2069</v>
      </c>
      <c r="B143" s="40"/>
      <c r="C143" s="40"/>
      <c r="D143" s="722">
        <f t="shared" si="17"/>
        <v>0</v>
      </c>
    </row>
    <row r="144" spans="1:6">
      <c r="A144" s="713" t="str">
        <f t="shared" si="16"/>
        <v>2070-2074</v>
      </c>
      <c r="B144" s="40"/>
      <c r="C144" s="40"/>
      <c r="D144" s="722">
        <f t="shared" si="17"/>
        <v>0</v>
      </c>
    </row>
    <row r="145" spans="1:9">
      <c r="A145" s="713" t="str">
        <f t="shared" si="16"/>
        <v>2075-2079</v>
      </c>
      <c r="B145" s="40"/>
      <c r="C145" s="40"/>
      <c r="D145" s="722">
        <f t="shared" si="17"/>
        <v>0</v>
      </c>
    </row>
    <row r="146" spans="1:9">
      <c r="A146" s="713" t="str">
        <f t="shared" si="16"/>
        <v>2080-2084</v>
      </c>
      <c r="B146" s="40"/>
      <c r="C146" s="40"/>
      <c r="D146" s="722">
        <f t="shared" si="17"/>
        <v>0</v>
      </c>
    </row>
    <row r="147" spans="1:9" ht="13.5" thickBot="1">
      <c r="A147" s="713" t="str">
        <f t="shared" si="16"/>
        <v>2085-2089</v>
      </c>
      <c r="B147" s="723"/>
      <c r="C147" s="717"/>
      <c r="D147" s="724">
        <f t="shared" si="17"/>
        <v>0</v>
      </c>
    </row>
    <row r="148" spans="1:9" ht="13.5" thickBot="1">
      <c r="A148" s="32" t="s">
        <v>579</v>
      </c>
      <c r="B148" s="725">
        <f>IF(SUM(B131:B147)=('Component Unit Template'!K159+'Component Unit Template'!K180),SUM(B131:B147),"ERROR")</f>
        <v>0</v>
      </c>
      <c r="C148" s="725">
        <f>SUM(C131:C147)</f>
        <v>0</v>
      </c>
      <c r="D148" s="725">
        <f>SUM(D131:D147)</f>
        <v>0</v>
      </c>
    </row>
    <row r="149" spans="1:9" ht="18" customHeight="1" thickTop="1">
      <c r="A149" s="133" t="s">
        <v>47</v>
      </c>
      <c r="B149" s="721">
        <f>(SUM(B131:B147))-(SUM('Component Unit Template'!K159+'Component Unit Template'!K180))</f>
        <v>0</v>
      </c>
    </row>
    <row r="150" spans="1:9">
      <c r="A150" s="521"/>
      <c r="B150" s="726"/>
      <c r="C150" s="348"/>
      <c r="D150" s="348"/>
      <c r="E150" s="348"/>
      <c r="F150" s="348"/>
      <c r="G150" s="348"/>
      <c r="H150" s="348"/>
    </row>
    <row r="151" spans="1:9">
      <c r="A151" s="18"/>
    </row>
    <row r="152" spans="1:9">
      <c r="A152" s="18" t="s">
        <v>1582</v>
      </c>
    </row>
    <row r="153" spans="1:9">
      <c r="A153" s="32" t="s">
        <v>125</v>
      </c>
      <c r="B153" s="23" t="s">
        <v>99</v>
      </c>
      <c r="C153" s="23" t="s">
        <v>100</v>
      </c>
      <c r="D153" s="23" t="s">
        <v>579</v>
      </c>
      <c r="F153" s="805" t="s">
        <v>1366</v>
      </c>
    </row>
    <row r="154" spans="1:9">
      <c r="A154" s="713">
        <f>A73</f>
        <v>2025</v>
      </c>
      <c r="B154" s="40"/>
      <c r="C154" s="40"/>
      <c r="D154" s="722">
        <f>SUM(B154:C154)</f>
        <v>0</v>
      </c>
      <c r="F154" s="807">
        <f>B154-F20</f>
        <v>0</v>
      </c>
    </row>
    <row r="155" spans="1:9">
      <c r="A155" s="713">
        <f t="shared" ref="A155:A170" si="18">A74</f>
        <v>2026</v>
      </c>
      <c r="B155" s="40"/>
      <c r="C155" s="40"/>
      <c r="D155" s="722">
        <f t="shared" ref="D155:D170" si="19">SUM(B155:C155)</f>
        <v>0</v>
      </c>
    </row>
    <row r="156" spans="1:9">
      <c r="A156" s="713">
        <f t="shared" si="18"/>
        <v>2027</v>
      </c>
      <c r="B156" s="40"/>
      <c r="C156" s="40"/>
      <c r="D156" s="722">
        <f t="shared" si="19"/>
        <v>0</v>
      </c>
      <c r="H156" s="260"/>
    </row>
    <row r="157" spans="1:9">
      <c r="A157" s="713">
        <f t="shared" si="18"/>
        <v>2028</v>
      </c>
      <c r="B157" s="40"/>
      <c r="C157" s="40"/>
      <c r="D157" s="722">
        <f t="shared" si="19"/>
        <v>0</v>
      </c>
      <c r="E157" s="23"/>
      <c r="F157" s="23"/>
      <c r="G157" s="23"/>
      <c r="H157" s="845"/>
      <c r="I157" s="23"/>
    </row>
    <row r="158" spans="1:9">
      <c r="A158" s="713">
        <f t="shared" si="18"/>
        <v>2029</v>
      </c>
      <c r="B158" s="40"/>
      <c r="C158" s="40"/>
      <c r="D158" s="722">
        <f t="shared" si="19"/>
        <v>0</v>
      </c>
      <c r="E158" s="239"/>
      <c r="F158" s="239"/>
      <c r="G158" s="239"/>
      <c r="H158" s="239"/>
      <c r="I158" s="239"/>
    </row>
    <row r="159" spans="1:9">
      <c r="A159" s="713" t="str">
        <f t="shared" si="18"/>
        <v>2030-2034</v>
      </c>
      <c r="B159" s="40"/>
      <c r="C159" s="40"/>
      <c r="D159" s="722">
        <f t="shared" si="19"/>
        <v>0</v>
      </c>
      <c r="E159" s="239"/>
      <c r="F159" s="239"/>
      <c r="G159" s="239"/>
      <c r="H159" s="239"/>
      <c r="I159" s="239"/>
    </row>
    <row r="160" spans="1:9">
      <c r="A160" s="713" t="str">
        <f t="shared" si="18"/>
        <v>2035-2039</v>
      </c>
      <c r="B160" s="40"/>
      <c r="C160" s="40"/>
      <c r="D160" s="722">
        <f t="shared" si="19"/>
        <v>0</v>
      </c>
      <c r="E160" s="239"/>
      <c r="F160" s="239"/>
      <c r="G160" s="239"/>
      <c r="H160" s="239"/>
      <c r="I160" s="239"/>
    </row>
    <row r="161" spans="1:8">
      <c r="A161" s="713" t="str">
        <f t="shared" si="18"/>
        <v>2040-2044</v>
      </c>
      <c r="B161" s="40"/>
      <c r="C161" s="40"/>
      <c r="D161" s="722">
        <f t="shared" si="19"/>
        <v>0</v>
      </c>
    </row>
    <row r="162" spans="1:8">
      <c r="A162" s="713" t="str">
        <f t="shared" si="18"/>
        <v>2045-2049</v>
      </c>
      <c r="B162" s="40"/>
      <c r="C162" s="40"/>
      <c r="D162" s="722">
        <f t="shared" si="19"/>
        <v>0</v>
      </c>
    </row>
    <row r="163" spans="1:8">
      <c r="A163" s="713" t="str">
        <f t="shared" si="18"/>
        <v>2050-2054</v>
      </c>
      <c r="B163" s="40"/>
      <c r="C163" s="40"/>
      <c r="D163" s="722">
        <f t="shared" si="19"/>
        <v>0</v>
      </c>
    </row>
    <row r="164" spans="1:8">
      <c r="A164" s="713" t="str">
        <f t="shared" si="18"/>
        <v>2055-2059</v>
      </c>
      <c r="B164" s="40"/>
      <c r="C164" s="40"/>
      <c r="D164" s="722">
        <f t="shared" si="19"/>
        <v>0</v>
      </c>
    </row>
    <row r="165" spans="1:8">
      <c r="A165" s="713" t="str">
        <f t="shared" si="18"/>
        <v>2060-2064</v>
      </c>
      <c r="B165" s="117"/>
      <c r="C165" s="117"/>
      <c r="D165" s="722">
        <f t="shared" si="19"/>
        <v>0</v>
      </c>
    </row>
    <row r="166" spans="1:8">
      <c r="A166" s="713" t="str">
        <f t="shared" si="18"/>
        <v>2065-2069</v>
      </c>
      <c r="B166" s="40"/>
      <c r="C166" s="40"/>
      <c r="D166" s="722">
        <f t="shared" si="19"/>
        <v>0</v>
      </c>
    </row>
    <row r="167" spans="1:8">
      <c r="A167" s="713" t="str">
        <f t="shared" si="18"/>
        <v>2070-2074</v>
      </c>
      <c r="B167" s="40"/>
      <c r="C167" s="40"/>
      <c r="D167" s="722">
        <f t="shared" si="19"/>
        <v>0</v>
      </c>
    </row>
    <row r="168" spans="1:8">
      <c r="A168" s="713" t="str">
        <f t="shared" si="18"/>
        <v>2075-2079</v>
      </c>
      <c r="B168" s="40"/>
      <c r="C168" s="40"/>
      <c r="D168" s="722">
        <f t="shared" si="19"/>
        <v>0</v>
      </c>
    </row>
    <row r="169" spans="1:8" ht="25.5">
      <c r="A169" s="713" t="str">
        <f t="shared" si="18"/>
        <v>2080-2084</v>
      </c>
      <c r="B169" s="40"/>
      <c r="C169" s="40"/>
      <c r="D169" s="722">
        <f t="shared" si="19"/>
        <v>0</v>
      </c>
      <c r="F169" s="705" t="s">
        <v>1431</v>
      </c>
      <c r="G169" s="705" t="s">
        <v>1432</v>
      </c>
      <c r="H169" s="844" t="s">
        <v>579</v>
      </c>
    </row>
    <row r="170" spans="1:8">
      <c r="A170" s="713" t="str">
        <f t="shared" si="18"/>
        <v>2085-2089</v>
      </c>
      <c r="B170" s="727"/>
      <c r="C170" s="727"/>
      <c r="D170" s="722">
        <f t="shared" si="19"/>
        <v>0</v>
      </c>
      <c r="F170" s="932" t="str">
        <f>IF(OR($B$175&gt;0,$B$175&lt;0),"Answer Required","N/A")</f>
        <v>N/A</v>
      </c>
      <c r="G170" s="932" t="str">
        <f>IF(OR($B$175&gt;0,$B$175&lt;0),"Answer Required","N/A")</f>
        <v>N/A</v>
      </c>
      <c r="H170" s="933">
        <f>IF(SUM(F170:G170)=(SUM($B$154:$B$170)),SUM(F170:G170),"ERROR")</f>
        <v>0</v>
      </c>
    </row>
    <row r="171" spans="1:8" hidden="1">
      <c r="A171" s="32" t="s">
        <v>127</v>
      </c>
      <c r="B171" s="728"/>
      <c r="C171" s="728"/>
      <c r="D171" s="728"/>
      <c r="F171" s="837"/>
      <c r="G171" s="837"/>
      <c r="H171" s="838">
        <f>IF(SUM(F171:G171)=B171,SUM(F171:G171),"Error")</f>
        <v>0</v>
      </c>
    </row>
    <row r="172" spans="1:8" hidden="1">
      <c r="A172" s="32" t="s">
        <v>128</v>
      </c>
      <c r="B172" s="40"/>
      <c r="C172" s="40"/>
    </row>
    <row r="173" spans="1:8" hidden="1">
      <c r="A173" s="32" t="s">
        <v>129</v>
      </c>
      <c r="B173" s="728"/>
      <c r="C173" s="728"/>
    </row>
    <row r="174" spans="1:8" hidden="1">
      <c r="A174" s="32" t="s">
        <v>130</v>
      </c>
      <c r="B174" s="40"/>
      <c r="C174" s="40"/>
      <c r="D174" s="260"/>
      <c r="E174" s="23"/>
    </row>
    <row r="175" spans="1:8" ht="13.5" thickBot="1">
      <c r="A175" s="793" t="s">
        <v>579</v>
      </c>
      <c r="B175" s="729">
        <f>IF(SUM(B154:B170)=('Component Unit Template'!K160+'Component Unit Template'!K181),SUM(B154:B170),"ERROR")</f>
        <v>0</v>
      </c>
      <c r="C175" s="729">
        <f>SUM(C154:C170)</f>
        <v>0</v>
      </c>
      <c r="D175" s="729">
        <f>SUM(D154:D170)</f>
        <v>0</v>
      </c>
      <c r="E175" s="825"/>
      <c r="F175" s="239"/>
    </row>
    <row r="176" spans="1:8" ht="21.75" customHeight="1" thickTop="1">
      <c r="A176" s="133" t="s">
        <v>47</v>
      </c>
      <c r="B176" s="134">
        <f>(SUM(B154:B170))-(SUM('Component Unit Template'!K160+'Component Unit Template'!K181))</f>
        <v>0</v>
      </c>
    </row>
    <row r="177" spans="1:8" ht="18" customHeight="1">
      <c r="A177" s="133"/>
      <c r="B177" s="134"/>
      <c r="D177" s="826"/>
      <c r="E177" s="826"/>
      <c r="F177" s="826"/>
      <c r="H177" s="275" t="s">
        <v>37</v>
      </c>
    </row>
    <row r="178" spans="1:8" ht="15">
      <c r="A178" s="1397" t="s">
        <v>1398</v>
      </c>
      <c r="B178" s="1397"/>
      <c r="C178" s="1397"/>
      <c r="D178" s="1397"/>
      <c r="E178" s="1397"/>
      <c r="F178" s="1397"/>
      <c r="G178" s="821"/>
      <c r="H178" s="822" t="s">
        <v>752</v>
      </c>
    </row>
    <row r="179" spans="1:8">
      <c r="A179" s="21" t="s">
        <v>1397</v>
      </c>
      <c r="B179" s="693"/>
    </row>
    <row r="180" spans="1:8" ht="41.25" customHeight="1">
      <c r="A180" s="1402" t="str">
        <f>IF($H$178="Yes","Answer Required","N/A")</f>
        <v>N/A</v>
      </c>
      <c r="B180" s="1403"/>
      <c r="C180" s="1403"/>
      <c r="D180" s="1403"/>
      <c r="E180" s="1403"/>
      <c r="F180" s="1403"/>
      <c r="G180" s="1403"/>
      <c r="H180" s="1404"/>
    </row>
    <row r="181" spans="1:8">
      <c r="A181" s="142"/>
      <c r="B181" s="823"/>
      <c r="C181" s="204"/>
      <c r="D181" s="204"/>
      <c r="H181" s="275"/>
    </row>
    <row r="182" spans="1:8">
      <c r="A182" s="142"/>
      <c r="B182" s="823"/>
      <c r="C182" s="204"/>
      <c r="D182" s="204"/>
      <c r="H182" s="275" t="s">
        <v>37</v>
      </c>
    </row>
    <row r="183" spans="1:8" ht="15">
      <c r="A183" s="1397" t="s">
        <v>1399</v>
      </c>
      <c r="B183" s="1397"/>
      <c r="C183" s="1397"/>
      <c r="D183" s="1397"/>
      <c r="E183" s="1397"/>
      <c r="F183" s="1397"/>
      <c r="G183" s="821"/>
      <c r="H183" s="822" t="s">
        <v>752</v>
      </c>
    </row>
    <row r="184" spans="1:8">
      <c r="A184" s="21" t="s">
        <v>1397</v>
      </c>
      <c r="B184" s="693"/>
    </row>
    <row r="185" spans="1:8" ht="39" customHeight="1">
      <c r="A185" s="1402" t="str">
        <f>IF($H$183="Yes","Answer Required","N/A")</f>
        <v>N/A</v>
      </c>
      <c r="B185" s="1403"/>
      <c r="C185" s="1403"/>
      <c r="D185" s="1403"/>
      <c r="E185" s="1403"/>
      <c r="F185" s="1403"/>
      <c r="G185" s="1403"/>
      <c r="H185" s="1404"/>
    </row>
    <row r="186" spans="1:8">
      <c r="A186" s="142"/>
      <c r="B186" s="823"/>
      <c r="C186" s="204"/>
      <c r="D186" s="204"/>
    </row>
    <row r="187" spans="1:8">
      <c r="A187" s="133"/>
      <c r="B187" s="134"/>
      <c r="D187" s="824"/>
      <c r="E187" s="824"/>
      <c r="F187" s="824"/>
    </row>
    <row r="188" spans="1:8">
      <c r="A188" s="709"/>
      <c r="B188" s="710"/>
      <c r="C188" s="710"/>
      <c r="D188" s="710"/>
      <c r="E188" s="710"/>
      <c r="F188" s="710"/>
      <c r="G188" s="710"/>
      <c r="H188" s="710"/>
    </row>
    <row r="189" spans="1:8">
      <c r="A189" s="18" t="s">
        <v>1681</v>
      </c>
    </row>
    <row r="190" spans="1:8">
      <c r="A190" s="32" t="s">
        <v>125</v>
      </c>
      <c r="B190" s="23" t="s">
        <v>99</v>
      </c>
      <c r="C190" s="23" t="s">
        <v>100</v>
      </c>
      <c r="D190" s="23" t="s">
        <v>579</v>
      </c>
      <c r="F190" s="805" t="s">
        <v>1366</v>
      </c>
    </row>
    <row r="191" spans="1:8">
      <c r="A191" s="713">
        <f t="shared" ref="A191:A207" si="20">A73</f>
        <v>2025</v>
      </c>
      <c r="B191" s="40"/>
      <c r="C191" s="40"/>
      <c r="D191" s="722">
        <f t="shared" ref="D191" si="21">SUM(B191:C191)</f>
        <v>0</v>
      </c>
      <c r="F191" s="807">
        <f>B191-F21</f>
        <v>0</v>
      </c>
    </row>
    <row r="192" spans="1:8">
      <c r="A192" s="713">
        <f t="shared" si="20"/>
        <v>2026</v>
      </c>
      <c r="B192" s="40"/>
      <c r="C192" s="40"/>
      <c r="D192" s="722">
        <f t="shared" ref="D192:D207" si="22">SUM(B192:C192)</f>
        <v>0</v>
      </c>
    </row>
    <row r="193" spans="1:9">
      <c r="A193" s="713">
        <f t="shared" si="20"/>
        <v>2027</v>
      </c>
      <c r="B193" s="40"/>
      <c r="C193" s="40"/>
      <c r="D193" s="722">
        <f t="shared" si="22"/>
        <v>0</v>
      </c>
      <c r="H193" s="260"/>
    </row>
    <row r="194" spans="1:9">
      <c r="A194" s="713">
        <f t="shared" si="20"/>
        <v>2028</v>
      </c>
      <c r="B194" s="40"/>
      <c r="C194" s="40"/>
      <c r="D194" s="722">
        <f t="shared" si="22"/>
        <v>0</v>
      </c>
      <c r="E194" s="23"/>
      <c r="F194" s="23"/>
      <c r="G194" s="23"/>
      <c r="H194" s="845"/>
      <c r="I194" s="23"/>
    </row>
    <row r="195" spans="1:9">
      <c r="A195" s="713">
        <f t="shared" si="20"/>
        <v>2029</v>
      </c>
      <c r="B195" s="40"/>
      <c r="C195" s="40"/>
      <c r="D195" s="722">
        <f t="shared" si="22"/>
        <v>0</v>
      </c>
      <c r="E195" s="239"/>
      <c r="F195" s="239"/>
      <c r="G195" s="239"/>
      <c r="H195" s="239"/>
      <c r="I195" s="239"/>
    </row>
    <row r="196" spans="1:9">
      <c r="A196" s="713" t="str">
        <f t="shared" si="20"/>
        <v>2030-2034</v>
      </c>
      <c r="B196" s="40"/>
      <c r="C196" s="40"/>
      <c r="D196" s="722">
        <f t="shared" si="22"/>
        <v>0</v>
      </c>
      <c r="E196" s="239"/>
      <c r="F196" s="239"/>
      <c r="G196" s="239"/>
      <c r="H196" s="239"/>
      <c r="I196" s="239"/>
    </row>
    <row r="197" spans="1:9">
      <c r="A197" s="713" t="str">
        <f t="shared" si="20"/>
        <v>2035-2039</v>
      </c>
      <c r="B197" s="40"/>
      <c r="C197" s="40"/>
      <c r="D197" s="722">
        <f t="shared" si="22"/>
        <v>0</v>
      </c>
      <c r="E197" s="239"/>
      <c r="F197" s="239"/>
      <c r="G197" s="239"/>
      <c r="H197" s="239"/>
      <c r="I197" s="239"/>
    </row>
    <row r="198" spans="1:9">
      <c r="A198" s="713" t="str">
        <f t="shared" si="20"/>
        <v>2040-2044</v>
      </c>
      <c r="B198" s="40"/>
      <c r="C198" s="40"/>
      <c r="D198" s="722">
        <f t="shared" si="22"/>
        <v>0</v>
      </c>
    </row>
    <row r="199" spans="1:9">
      <c r="A199" s="713" t="str">
        <f t="shared" si="20"/>
        <v>2045-2049</v>
      </c>
      <c r="B199" s="40"/>
      <c r="C199" s="40"/>
      <c r="D199" s="722">
        <f t="shared" si="22"/>
        <v>0</v>
      </c>
    </row>
    <row r="200" spans="1:9">
      <c r="A200" s="713" t="str">
        <f t="shared" si="20"/>
        <v>2050-2054</v>
      </c>
      <c r="B200" s="40"/>
      <c r="C200" s="40"/>
      <c r="D200" s="722">
        <f t="shared" si="22"/>
        <v>0</v>
      </c>
    </row>
    <row r="201" spans="1:9">
      <c r="A201" s="713" t="str">
        <f t="shared" si="20"/>
        <v>2055-2059</v>
      </c>
      <c r="B201" s="40"/>
      <c r="C201" s="40"/>
      <c r="D201" s="722">
        <f t="shared" si="22"/>
        <v>0</v>
      </c>
    </row>
    <row r="202" spans="1:9">
      <c r="A202" s="713" t="str">
        <f t="shared" si="20"/>
        <v>2060-2064</v>
      </c>
      <c r="B202" s="117"/>
      <c r="C202" s="117"/>
      <c r="D202" s="722">
        <f t="shared" si="22"/>
        <v>0</v>
      </c>
    </row>
    <row r="203" spans="1:9">
      <c r="A203" s="713" t="str">
        <f t="shared" si="20"/>
        <v>2065-2069</v>
      </c>
      <c r="B203" s="40"/>
      <c r="C203" s="40"/>
      <c r="D203" s="722">
        <f t="shared" si="22"/>
        <v>0</v>
      </c>
    </row>
    <row r="204" spans="1:9">
      <c r="A204" s="713" t="str">
        <f t="shared" si="20"/>
        <v>2070-2074</v>
      </c>
      <c r="B204" s="40"/>
      <c r="C204" s="40"/>
      <c r="D204" s="722">
        <f t="shared" si="22"/>
        <v>0</v>
      </c>
    </row>
    <row r="205" spans="1:9">
      <c r="A205" s="713" t="str">
        <f t="shared" si="20"/>
        <v>2075-2079</v>
      </c>
      <c r="B205" s="40"/>
      <c r="C205" s="40"/>
      <c r="D205" s="722">
        <f t="shared" si="22"/>
        <v>0</v>
      </c>
    </row>
    <row r="206" spans="1:9">
      <c r="A206" s="713" t="str">
        <f t="shared" si="20"/>
        <v>2080-2084</v>
      </c>
      <c r="B206" s="40"/>
      <c r="C206" s="40"/>
      <c r="D206" s="722">
        <f t="shared" si="22"/>
        <v>0</v>
      </c>
    </row>
    <row r="207" spans="1:9">
      <c r="A207" s="713" t="str">
        <f t="shared" si="20"/>
        <v>2085-2089</v>
      </c>
      <c r="B207" s="727"/>
      <c r="C207" s="727"/>
      <c r="D207" s="722">
        <f t="shared" si="22"/>
        <v>0</v>
      </c>
    </row>
    <row r="208" spans="1:9" hidden="1">
      <c r="A208" s="32" t="s">
        <v>127</v>
      </c>
      <c r="B208" s="728"/>
      <c r="C208" s="728"/>
      <c r="D208" s="728"/>
    </row>
    <row r="209" spans="1:9" hidden="1">
      <c r="A209" s="32" t="s">
        <v>128</v>
      </c>
      <c r="B209" s="40"/>
      <c r="C209" s="40"/>
    </row>
    <row r="210" spans="1:9" hidden="1">
      <c r="A210" s="32" t="s">
        <v>129</v>
      </c>
      <c r="B210" s="728"/>
      <c r="C210" s="728"/>
    </row>
    <row r="211" spans="1:9" hidden="1">
      <c r="A211" s="32" t="s">
        <v>130</v>
      </c>
      <c r="B211" s="40"/>
      <c r="C211" s="40"/>
      <c r="D211" s="260"/>
      <c r="E211" s="23"/>
    </row>
    <row r="212" spans="1:9" ht="13.5" thickBot="1">
      <c r="A212" s="793" t="s">
        <v>579</v>
      </c>
      <c r="B212" s="729">
        <f>IF(SUM(B191:B207)=('Component Unit Template'!K161+'Component Unit Template'!K182),SUM(B191:B207),"ERROR")</f>
        <v>0</v>
      </c>
      <c r="C212" s="729">
        <f>SUM(C191:C207)</f>
        <v>0</v>
      </c>
      <c r="D212" s="729">
        <f>SUM(D191:D207)</f>
        <v>0</v>
      </c>
      <c r="E212" s="825"/>
      <c r="F212" s="239"/>
    </row>
    <row r="213" spans="1:9" ht="18.75" customHeight="1" thickTop="1">
      <c r="A213" s="133" t="s">
        <v>47</v>
      </c>
      <c r="B213" s="134">
        <f>(SUM(B191:B207))-(SUM('Component Unit Template'!K161+'Component Unit Template'!K182))</f>
        <v>0</v>
      </c>
    </row>
    <row r="214" spans="1:9" ht="18" customHeight="1">
      <c r="A214" s="133"/>
      <c r="B214" s="134"/>
      <c r="D214" s="826"/>
      <c r="E214" s="826"/>
      <c r="F214" s="826"/>
    </row>
    <row r="215" spans="1:9">
      <c r="A215" s="709"/>
      <c r="B215" s="710"/>
      <c r="C215" s="710"/>
      <c r="D215" s="710"/>
      <c r="E215" s="710"/>
      <c r="F215" s="710"/>
      <c r="G215" s="710"/>
      <c r="H215" s="710"/>
    </row>
    <row r="216" spans="1:9">
      <c r="A216" s="18" t="s">
        <v>1583</v>
      </c>
    </row>
    <row r="217" spans="1:9" ht="12" customHeight="1">
      <c r="A217" s="32" t="s">
        <v>125</v>
      </c>
      <c r="B217" s="23" t="s">
        <v>99</v>
      </c>
      <c r="C217" s="23" t="s">
        <v>100</v>
      </c>
      <c r="D217" s="23" t="s">
        <v>579</v>
      </c>
      <c r="F217" s="805" t="s">
        <v>1366</v>
      </c>
    </row>
    <row r="218" spans="1:9">
      <c r="A218" s="713">
        <f>A73</f>
        <v>2025</v>
      </c>
      <c r="B218" s="40"/>
      <c r="C218" s="40"/>
      <c r="D218" s="722">
        <f t="shared" ref="D218:D234" si="23">SUM(B218:C218)</f>
        <v>0</v>
      </c>
      <c r="F218" s="807">
        <f>B218-F22</f>
        <v>0</v>
      </c>
    </row>
    <row r="219" spans="1:9">
      <c r="A219" s="713">
        <f t="shared" ref="A219:A234" si="24">A74</f>
        <v>2026</v>
      </c>
      <c r="B219" s="40"/>
      <c r="C219" s="40"/>
      <c r="D219" s="722">
        <f t="shared" si="23"/>
        <v>0</v>
      </c>
    </row>
    <row r="220" spans="1:9">
      <c r="A220" s="713">
        <f t="shared" si="24"/>
        <v>2027</v>
      </c>
      <c r="B220" s="40"/>
      <c r="C220" s="40"/>
      <c r="D220" s="722">
        <f t="shared" si="23"/>
        <v>0</v>
      </c>
      <c r="H220" s="260"/>
    </row>
    <row r="221" spans="1:9">
      <c r="A221" s="713">
        <f t="shared" si="24"/>
        <v>2028</v>
      </c>
      <c r="B221" s="40"/>
      <c r="C221" s="40"/>
      <c r="D221" s="722">
        <f t="shared" si="23"/>
        <v>0</v>
      </c>
      <c r="E221" s="23"/>
      <c r="F221" s="23"/>
      <c r="G221" s="23"/>
      <c r="H221" s="845"/>
      <c r="I221" s="23"/>
    </row>
    <row r="222" spans="1:9">
      <c r="A222" s="713">
        <f t="shared" si="24"/>
        <v>2029</v>
      </c>
      <c r="B222" s="40"/>
      <c r="C222" s="40"/>
      <c r="D222" s="722">
        <f t="shared" si="23"/>
        <v>0</v>
      </c>
      <c r="E222" s="239"/>
      <c r="F222" s="239"/>
      <c r="G222" s="239"/>
      <c r="H222" s="239"/>
      <c r="I222" s="239"/>
    </row>
    <row r="223" spans="1:9">
      <c r="A223" s="713" t="str">
        <f t="shared" si="24"/>
        <v>2030-2034</v>
      </c>
      <c r="B223" s="40"/>
      <c r="C223" s="40"/>
      <c r="D223" s="722">
        <f t="shared" si="23"/>
        <v>0</v>
      </c>
      <c r="E223" s="239"/>
      <c r="F223" s="239"/>
      <c r="G223" s="239"/>
      <c r="H223" s="239"/>
      <c r="I223" s="239"/>
    </row>
    <row r="224" spans="1:9">
      <c r="A224" s="713" t="str">
        <f t="shared" si="24"/>
        <v>2035-2039</v>
      </c>
      <c r="B224" s="40"/>
      <c r="C224" s="40"/>
      <c r="D224" s="722">
        <f t="shared" si="23"/>
        <v>0</v>
      </c>
    </row>
    <row r="225" spans="1:9">
      <c r="A225" s="713" t="str">
        <f t="shared" si="24"/>
        <v>2040-2044</v>
      </c>
      <c r="B225" s="40"/>
      <c r="C225" s="40"/>
      <c r="D225" s="722">
        <f t="shared" si="23"/>
        <v>0</v>
      </c>
      <c r="F225" s="805"/>
    </row>
    <row r="226" spans="1:9">
      <c r="A226" s="713" t="str">
        <f t="shared" si="24"/>
        <v>2045-2049</v>
      </c>
      <c r="B226" s="40"/>
      <c r="C226" s="40"/>
      <c r="D226" s="722">
        <f t="shared" si="23"/>
        <v>0</v>
      </c>
      <c r="F226" s="807"/>
      <c r="H226" s="260"/>
    </row>
    <row r="227" spans="1:9">
      <c r="A227" s="713" t="str">
        <f t="shared" si="24"/>
        <v>2050-2054</v>
      </c>
      <c r="B227" s="40"/>
      <c r="C227" s="40"/>
      <c r="D227" s="722">
        <f t="shared" si="23"/>
        <v>0</v>
      </c>
      <c r="E227" s="23"/>
      <c r="F227" s="23"/>
      <c r="G227" s="23"/>
      <c r="H227" s="845"/>
      <c r="I227" s="23"/>
    </row>
    <row r="228" spans="1:9">
      <c r="A228" s="713" t="str">
        <f t="shared" si="24"/>
        <v>2055-2059</v>
      </c>
      <c r="B228" s="40"/>
      <c r="C228" s="40"/>
      <c r="D228" s="722">
        <f t="shared" si="23"/>
        <v>0</v>
      </c>
      <c r="E228" s="239"/>
      <c r="F228" s="239"/>
      <c r="G228" s="239"/>
      <c r="H228" s="239"/>
      <c r="I228" s="239"/>
    </row>
    <row r="229" spans="1:9">
      <c r="A229" s="713" t="str">
        <f t="shared" si="24"/>
        <v>2060-2064</v>
      </c>
      <c r="B229" s="40"/>
      <c r="C229" s="40"/>
      <c r="D229" s="722">
        <f t="shared" si="23"/>
        <v>0</v>
      </c>
      <c r="E229" s="239"/>
      <c r="F229" s="239"/>
      <c r="G229" s="239"/>
      <c r="H229" s="239"/>
      <c r="I229" s="239"/>
    </row>
    <row r="230" spans="1:9">
      <c r="A230" s="713" t="str">
        <f t="shared" si="24"/>
        <v>2065-2069</v>
      </c>
      <c r="B230" s="40"/>
      <c r="C230" s="40"/>
      <c r="D230" s="722">
        <f t="shared" si="23"/>
        <v>0</v>
      </c>
      <c r="E230" s="239"/>
      <c r="F230" s="239"/>
      <c r="G230" s="239"/>
      <c r="H230" s="239"/>
      <c r="I230" s="239"/>
    </row>
    <row r="231" spans="1:9">
      <c r="A231" s="713" t="str">
        <f t="shared" si="24"/>
        <v>2070-2074</v>
      </c>
      <c r="B231" s="40"/>
      <c r="C231" s="40"/>
      <c r="D231" s="722">
        <f t="shared" si="23"/>
        <v>0</v>
      </c>
    </row>
    <row r="232" spans="1:9">
      <c r="A232" s="713" t="str">
        <f t="shared" si="24"/>
        <v>2075-2079</v>
      </c>
      <c r="B232" s="40"/>
      <c r="C232" s="40"/>
      <c r="D232" s="722">
        <f t="shared" si="23"/>
        <v>0</v>
      </c>
    </row>
    <row r="233" spans="1:9">
      <c r="A233" s="713" t="str">
        <f t="shared" si="24"/>
        <v>2080-2084</v>
      </c>
      <c r="B233" s="40"/>
      <c r="C233" s="40"/>
      <c r="D233" s="722">
        <f t="shared" si="23"/>
        <v>0</v>
      </c>
    </row>
    <row r="234" spans="1:9" ht="25.5">
      <c r="A234" s="713" t="str">
        <f t="shared" si="24"/>
        <v>2085-2089</v>
      </c>
      <c r="B234" s="40"/>
      <c r="C234" s="40"/>
      <c r="D234" s="722">
        <f t="shared" si="23"/>
        <v>0</v>
      </c>
      <c r="F234" s="705" t="s">
        <v>1431</v>
      </c>
      <c r="G234" s="705" t="s">
        <v>1432</v>
      </c>
      <c r="H234" s="844" t="s">
        <v>579</v>
      </c>
    </row>
    <row r="235" spans="1:9" ht="12.75" hidden="1" customHeight="1">
      <c r="A235" s="32" t="s">
        <v>127</v>
      </c>
      <c r="B235" s="728"/>
      <c r="C235" s="728"/>
      <c r="D235" s="728"/>
      <c r="F235" s="837"/>
      <c r="G235" s="837"/>
      <c r="H235" s="838">
        <f>IF(SUM(F235:G235)=B235,SUM(F235:G235),"Error")</f>
        <v>0</v>
      </c>
    </row>
    <row r="236" spans="1:9" ht="12.75" hidden="1" customHeight="1">
      <c r="A236" s="32" t="s">
        <v>128</v>
      </c>
      <c r="B236" s="40"/>
      <c r="C236" s="40"/>
    </row>
    <row r="237" spans="1:9" ht="12.75" hidden="1" customHeight="1">
      <c r="A237" s="32" t="s">
        <v>129</v>
      </c>
      <c r="B237" s="728"/>
      <c r="C237" s="728"/>
    </row>
    <row r="238" spans="1:9" ht="12.75" hidden="1" customHeight="1">
      <c r="A238" s="32" t="s">
        <v>130</v>
      </c>
      <c r="B238" s="40"/>
      <c r="C238" s="40"/>
      <c r="D238" s="260"/>
      <c r="E238" s="23"/>
    </row>
    <row r="239" spans="1:9" ht="13.5" thickBot="1">
      <c r="A239" s="793" t="s">
        <v>579</v>
      </c>
      <c r="B239" s="729">
        <f>IF(SUM(B218:B234)=('Component Unit Template'!K162+'Component Unit Template'!K183),SUM(B218:B234),"ERROR")</f>
        <v>0</v>
      </c>
      <c r="C239" s="729">
        <f>SUM(C224:C234)</f>
        <v>0</v>
      </c>
      <c r="D239" s="729">
        <f>SUM(D224:D234)</f>
        <v>0</v>
      </c>
      <c r="E239" s="825"/>
      <c r="F239" s="932" t="str">
        <f>IF(OR($B$239&gt;0,$B$239&lt;0),"Answer Required","N/A")</f>
        <v>N/A</v>
      </c>
      <c r="G239" s="932" t="str">
        <f>IF(OR($B$239&gt;0,$B$239&lt;0),"Answer Required","N/A")</f>
        <v>N/A</v>
      </c>
      <c r="H239" s="933">
        <f>IF(SUM(F239:G239)=(SUM($B$218:$B$234)),SUM(F239:G239),"ERROR")</f>
        <v>0</v>
      </c>
    </row>
    <row r="240" spans="1:9" ht="21.75" customHeight="1" thickTop="1">
      <c r="A240" s="133" t="s">
        <v>47</v>
      </c>
      <c r="B240" s="134">
        <f>(SUM(B218:B234))-(SUM('Component Unit Template'!K162+'Component Unit Template'!K183))</f>
        <v>0</v>
      </c>
    </row>
    <row r="241" spans="1:9" ht="18" customHeight="1">
      <c r="A241" s="133"/>
      <c r="B241" s="134"/>
      <c r="D241" s="826"/>
      <c r="E241" s="826"/>
      <c r="F241" s="826"/>
      <c r="H241" s="275" t="s">
        <v>37</v>
      </c>
    </row>
    <row r="242" spans="1:9" ht="15" customHeight="1">
      <c r="A242" s="26" t="s">
        <v>1591</v>
      </c>
      <c r="B242" s="904"/>
      <c r="C242" s="904"/>
      <c r="D242" s="904"/>
      <c r="E242" s="904"/>
      <c r="F242" s="904"/>
      <c r="G242" s="821"/>
      <c r="H242" s="822" t="s">
        <v>752</v>
      </c>
    </row>
    <row r="243" spans="1:9">
      <c r="A243" s="21" t="s">
        <v>1397</v>
      </c>
      <c r="B243" s="693"/>
    </row>
    <row r="244" spans="1:9" ht="41.25" customHeight="1">
      <c r="A244" s="1402" t="str">
        <f>IF($H$242="Yes","Answer Required","N/A")</f>
        <v>N/A</v>
      </c>
      <c r="B244" s="1405"/>
      <c r="C244" s="1405"/>
      <c r="D244" s="1405"/>
      <c r="E244" s="1405"/>
      <c r="F244" s="1405"/>
      <c r="G244" s="1405"/>
      <c r="H244" s="1406"/>
    </row>
    <row r="245" spans="1:9">
      <c r="A245" s="142"/>
      <c r="B245" s="823"/>
      <c r="C245" s="204"/>
      <c r="D245" s="204"/>
      <c r="H245" s="275"/>
    </row>
    <row r="246" spans="1:9">
      <c r="A246" s="142"/>
      <c r="B246" s="823"/>
      <c r="C246" s="204"/>
      <c r="D246" s="204"/>
      <c r="H246" s="275"/>
    </row>
    <row r="247" spans="1:9" ht="18" customHeight="1">
      <c r="A247" s="133"/>
      <c r="B247" s="134"/>
      <c r="D247" s="826"/>
      <c r="E247" s="826"/>
      <c r="F247" s="826"/>
    </row>
    <row r="248" spans="1:9">
      <c r="A248" s="709"/>
      <c r="B248" s="710"/>
      <c r="C248" s="710"/>
      <c r="D248" s="710"/>
      <c r="E248" s="710"/>
      <c r="F248" s="710"/>
      <c r="G248" s="710"/>
      <c r="H248" s="710"/>
    </row>
    <row r="249" spans="1:9">
      <c r="A249" s="18" t="s">
        <v>1584</v>
      </c>
    </row>
    <row r="250" spans="1:9" ht="12" customHeight="1">
      <c r="A250" s="32" t="s">
        <v>125</v>
      </c>
      <c r="B250" s="23" t="s">
        <v>99</v>
      </c>
      <c r="C250" s="23" t="s">
        <v>100</v>
      </c>
      <c r="D250" s="23" t="s">
        <v>579</v>
      </c>
      <c r="F250" s="805" t="s">
        <v>1366</v>
      </c>
    </row>
    <row r="251" spans="1:9">
      <c r="A251" s="713">
        <f>A154</f>
        <v>2025</v>
      </c>
      <c r="B251" s="40"/>
      <c r="C251" s="40"/>
      <c r="D251" s="722">
        <f t="shared" ref="D251:D267" si="25">SUM(B251:C251)</f>
        <v>0</v>
      </c>
      <c r="F251" s="807">
        <f>B251-F23</f>
        <v>0</v>
      </c>
    </row>
    <row r="252" spans="1:9">
      <c r="A252" s="713">
        <f t="shared" ref="A252:A267" si="26">A155</f>
        <v>2026</v>
      </c>
      <c r="B252" s="40"/>
      <c r="C252" s="40"/>
      <c r="D252" s="722">
        <f t="shared" si="25"/>
        <v>0</v>
      </c>
    </row>
    <row r="253" spans="1:9">
      <c r="A253" s="713">
        <f t="shared" si="26"/>
        <v>2027</v>
      </c>
      <c r="B253" s="40"/>
      <c r="C253" s="40"/>
      <c r="D253" s="722">
        <f t="shared" si="25"/>
        <v>0</v>
      </c>
      <c r="H253" s="260"/>
    </row>
    <row r="254" spans="1:9">
      <c r="A254" s="713">
        <f t="shared" si="26"/>
        <v>2028</v>
      </c>
      <c r="B254" s="40"/>
      <c r="C254" s="40"/>
      <c r="D254" s="722">
        <f t="shared" si="25"/>
        <v>0</v>
      </c>
      <c r="E254" s="23"/>
      <c r="F254" s="23"/>
      <c r="G254" s="23"/>
      <c r="H254" s="845"/>
      <c r="I254" s="23"/>
    </row>
    <row r="255" spans="1:9">
      <c r="A255" s="713">
        <f t="shared" si="26"/>
        <v>2029</v>
      </c>
      <c r="B255" s="40"/>
      <c r="C255" s="40"/>
      <c r="D255" s="722">
        <f t="shared" si="25"/>
        <v>0</v>
      </c>
      <c r="E255" s="239"/>
      <c r="F255" s="239"/>
      <c r="G255" s="239"/>
      <c r="H255" s="239"/>
      <c r="I255" s="239"/>
    </row>
    <row r="256" spans="1:9">
      <c r="A256" s="713" t="str">
        <f t="shared" si="26"/>
        <v>2030-2034</v>
      </c>
      <c r="B256" s="40"/>
      <c r="C256" s="40"/>
      <c r="D256" s="722">
        <f t="shared" si="25"/>
        <v>0</v>
      </c>
      <c r="E256" s="239"/>
      <c r="F256" s="239"/>
      <c r="G256" s="239"/>
      <c r="H256" s="239"/>
      <c r="I256" s="239"/>
    </row>
    <row r="257" spans="1:9">
      <c r="A257" s="713" t="str">
        <f t="shared" si="26"/>
        <v>2035-2039</v>
      </c>
      <c r="B257" s="40"/>
      <c r="C257" s="40"/>
      <c r="D257" s="722">
        <f t="shared" si="25"/>
        <v>0</v>
      </c>
    </row>
    <row r="258" spans="1:9">
      <c r="A258" s="713" t="str">
        <f t="shared" si="26"/>
        <v>2040-2044</v>
      </c>
      <c r="B258" s="40"/>
      <c r="C258" s="40"/>
      <c r="D258" s="722">
        <f t="shared" si="25"/>
        <v>0</v>
      </c>
      <c r="F258" s="805"/>
    </row>
    <row r="259" spans="1:9">
      <c r="A259" s="713" t="str">
        <f t="shared" si="26"/>
        <v>2045-2049</v>
      </c>
      <c r="B259" s="40"/>
      <c r="C259" s="40"/>
      <c r="D259" s="722">
        <f t="shared" si="25"/>
        <v>0</v>
      </c>
      <c r="F259" s="807"/>
      <c r="H259" s="260"/>
    </row>
    <row r="260" spans="1:9">
      <c r="A260" s="713" t="str">
        <f t="shared" si="26"/>
        <v>2050-2054</v>
      </c>
      <c r="B260" s="40"/>
      <c r="C260" s="40"/>
      <c r="D260" s="722">
        <f t="shared" si="25"/>
        <v>0</v>
      </c>
      <c r="E260" s="23"/>
      <c r="F260" s="23"/>
      <c r="G260" s="23"/>
      <c r="H260" s="845"/>
      <c r="I260" s="23"/>
    </row>
    <row r="261" spans="1:9">
      <c r="A261" s="713" t="str">
        <f t="shared" si="26"/>
        <v>2055-2059</v>
      </c>
      <c r="B261" s="40"/>
      <c r="C261" s="40"/>
      <c r="D261" s="722">
        <f t="shared" si="25"/>
        <v>0</v>
      </c>
      <c r="E261" s="239"/>
      <c r="F261" s="239"/>
      <c r="G261" s="239"/>
      <c r="H261" s="239"/>
      <c r="I261" s="239"/>
    </row>
    <row r="262" spans="1:9">
      <c r="A262" s="713" t="str">
        <f t="shared" si="26"/>
        <v>2060-2064</v>
      </c>
      <c r="B262" s="40"/>
      <c r="C262" s="40"/>
      <c r="D262" s="722">
        <f t="shared" si="25"/>
        <v>0</v>
      </c>
      <c r="E262" s="239"/>
      <c r="F262" s="239"/>
      <c r="G262" s="239"/>
      <c r="H262" s="239"/>
      <c r="I262" s="239"/>
    </row>
    <row r="263" spans="1:9">
      <c r="A263" s="713" t="str">
        <f t="shared" si="26"/>
        <v>2065-2069</v>
      </c>
      <c r="B263" s="40"/>
      <c r="C263" s="40"/>
      <c r="D263" s="722">
        <f t="shared" si="25"/>
        <v>0</v>
      </c>
      <c r="E263" s="239"/>
      <c r="F263" s="239"/>
      <c r="G263" s="239"/>
      <c r="H263" s="239"/>
      <c r="I263" s="239"/>
    </row>
    <row r="264" spans="1:9">
      <c r="A264" s="713" t="str">
        <f t="shared" si="26"/>
        <v>2070-2074</v>
      </c>
      <c r="B264" s="40"/>
      <c r="C264" s="40"/>
      <c r="D264" s="722">
        <f t="shared" si="25"/>
        <v>0</v>
      </c>
    </row>
    <row r="265" spans="1:9">
      <c r="A265" s="713" t="str">
        <f t="shared" si="26"/>
        <v>2075-2079</v>
      </c>
      <c r="B265" s="40"/>
      <c r="C265" s="40"/>
      <c r="D265" s="722">
        <f t="shared" si="25"/>
        <v>0</v>
      </c>
    </row>
    <row r="266" spans="1:9">
      <c r="A266" s="713" t="str">
        <f t="shared" si="26"/>
        <v>2080-2084</v>
      </c>
      <c r="B266" s="40"/>
      <c r="C266" s="40"/>
      <c r="D266" s="722">
        <f t="shared" si="25"/>
        <v>0</v>
      </c>
    </row>
    <row r="267" spans="1:9" ht="25.5">
      <c r="A267" s="713" t="str">
        <f t="shared" si="26"/>
        <v>2085-2089</v>
      </c>
      <c r="B267" s="40"/>
      <c r="C267" s="40"/>
      <c r="D267" s="722">
        <f t="shared" si="25"/>
        <v>0</v>
      </c>
      <c r="F267" s="705" t="s">
        <v>1431</v>
      </c>
      <c r="G267" s="705" t="s">
        <v>1432</v>
      </c>
      <c r="H267" s="844" t="s">
        <v>579</v>
      </c>
    </row>
    <row r="268" spans="1:9" ht="12.75" hidden="1" customHeight="1">
      <c r="A268" s="32" t="s">
        <v>127</v>
      </c>
      <c r="B268" s="728"/>
      <c r="C268" s="728"/>
      <c r="D268" s="728"/>
      <c r="F268" s="837"/>
      <c r="G268" s="837"/>
      <c r="H268" s="838">
        <f>IF(SUM(F268:G268)=B268,SUM(F268:G268),"Error")</f>
        <v>0</v>
      </c>
    </row>
    <row r="269" spans="1:9" ht="12.75" hidden="1" customHeight="1">
      <c r="A269" s="32" t="s">
        <v>128</v>
      </c>
      <c r="B269" s="40"/>
      <c r="C269" s="40"/>
    </row>
    <row r="270" spans="1:9" ht="12.75" hidden="1" customHeight="1">
      <c r="A270" s="32" t="s">
        <v>129</v>
      </c>
      <c r="B270" s="728"/>
      <c r="C270" s="728"/>
    </row>
    <row r="271" spans="1:9" ht="12.75" hidden="1" customHeight="1">
      <c r="A271" s="32" t="s">
        <v>130</v>
      </c>
      <c r="B271" s="40"/>
      <c r="C271" s="40"/>
      <c r="D271" s="260"/>
      <c r="E271" s="23"/>
    </row>
    <row r="272" spans="1:9" ht="13.5" thickBot="1">
      <c r="A272" s="793" t="s">
        <v>579</v>
      </c>
      <c r="B272" s="729">
        <f>IF(SUM(B251:B267)=('Component Unit Template'!K163+'Component Unit Template'!K184),SUM(B251:B267),"ERROR")</f>
        <v>0</v>
      </c>
      <c r="C272" s="729">
        <f>SUM(C257:C267)</f>
        <v>0</v>
      </c>
      <c r="D272" s="729">
        <f>SUM(D257:D267)</f>
        <v>0</v>
      </c>
      <c r="E272" s="825"/>
      <c r="F272" s="932" t="str">
        <f>IF(OR($B$272&gt;0,$B$272&lt;0),"Answer Required","N/A")</f>
        <v>N/A</v>
      </c>
      <c r="G272" s="932" t="str">
        <f>IF(OR($B$272&gt;0,$B$272&lt;0),"Answer Required","N/A")</f>
        <v>N/A</v>
      </c>
      <c r="H272" s="933">
        <f>IF(SUM(F272:G272)=(SUM($B$251:$B$267)),SUM(F272:G272),"ERROR")</f>
        <v>0</v>
      </c>
    </row>
    <row r="273" spans="1:8" ht="21.75" customHeight="1" thickTop="1">
      <c r="A273" s="133" t="s">
        <v>47</v>
      </c>
      <c r="B273" s="134">
        <f>(SUM(B251:B267))-(SUM('Component Unit Template'!K163+'Component Unit Template'!K184))</f>
        <v>0</v>
      </c>
    </row>
    <row r="274" spans="1:8" ht="18" customHeight="1">
      <c r="A274" s="133"/>
      <c r="B274" s="134"/>
      <c r="D274" s="826"/>
      <c r="E274" s="826"/>
      <c r="F274" s="826"/>
      <c r="H274" s="275" t="s">
        <v>37</v>
      </c>
    </row>
    <row r="275" spans="1:8" ht="15" customHeight="1">
      <c r="A275" s="26" t="s">
        <v>1585</v>
      </c>
      <c r="B275" s="904"/>
      <c r="C275" s="904"/>
      <c r="D275" s="904"/>
      <c r="E275" s="904"/>
      <c r="F275" s="904"/>
      <c r="G275" s="821"/>
      <c r="H275" s="822" t="s">
        <v>752</v>
      </c>
    </row>
    <row r="276" spans="1:8">
      <c r="A276" s="21" t="s">
        <v>1397</v>
      </c>
      <c r="B276" s="693"/>
    </row>
    <row r="277" spans="1:8" ht="41.25" customHeight="1">
      <c r="A277" s="1402" t="str">
        <f>IF($H$275="Yes","Answer Required","N/A")</f>
        <v>N/A</v>
      </c>
      <c r="B277" s="1405"/>
      <c r="C277" s="1405"/>
      <c r="D277" s="1405"/>
      <c r="E277" s="1405"/>
      <c r="F277" s="1405"/>
      <c r="G277" s="1405"/>
      <c r="H277" s="1406"/>
    </row>
    <row r="278" spans="1:8">
      <c r="A278" s="142"/>
      <c r="B278" s="823"/>
      <c r="C278" s="204"/>
      <c r="D278" s="204"/>
      <c r="H278" s="275"/>
    </row>
    <row r="279" spans="1:8">
      <c r="A279" s="142"/>
      <c r="B279" s="823"/>
      <c r="C279" s="204"/>
      <c r="D279" s="204"/>
      <c r="H279" s="275"/>
    </row>
    <row r="280" spans="1:8">
      <c r="A280" s="142"/>
      <c r="B280" s="823"/>
      <c r="C280" s="204"/>
      <c r="D280" s="204"/>
      <c r="H280" s="275" t="s">
        <v>37</v>
      </c>
    </row>
    <row r="281" spans="1:8" ht="15">
      <c r="A281" s="1397" t="s">
        <v>1586</v>
      </c>
      <c r="B281" s="1397"/>
      <c r="C281" s="1397"/>
      <c r="D281" s="1397"/>
      <c r="E281" s="1397"/>
      <c r="F281" s="1397"/>
      <c r="G281" s="821"/>
      <c r="H281" s="822" t="s">
        <v>752</v>
      </c>
    </row>
    <row r="282" spans="1:8">
      <c r="A282" s="21" t="s">
        <v>1397</v>
      </c>
      <c r="B282" s="693"/>
    </row>
    <row r="283" spans="1:8" ht="39" customHeight="1">
      <c r="A283" s="1402" t="str">
        <f>IF($H$281="Yes","Answer Required","N/A")</f>
        <v>N/A</v>
      </c>
      <c r="B283" s="1403"/>
      <c r="C283" s="1403"/>
      <c r="D283" s="1403"/>
      <c r="E283" s="1403"/>
      <c r="F283" s="1403"/>
      <c r="G283" s="1403"/>
      <c r="H283" s="1404"/>
    </row>
    <row r="284" spans="1:8">
      <c r="A284" s="142"/>
      <c r="B284" s="823"/>
      <c r="C284" s="204"/>
      <c r="D284" s="204"/>
    </row>
    <row r="285" spans="1:8">
      <c r="A285" s="521"/>
      <c r="B285" s="348"/>
      <c r="C285" s="348"/>
      <c r="D285" s="348"/>
      <c r="E285" s="348"/>
      <c r="F285" s="348"/>
      <c r="G285" s="348"/>
      <c r="H285" s="348"/>
    </row>
    <row r="286" spans="1:8">
      <c r="A286" s="18" t="s">
        <v>1587</v>
      </c>
    </row>
    <row r="287" spans="1:8">
      <c r="A287" s="32" t="s">
        <v>98</v>
      </c>
      <c r="B287" s="23" t="s">
        <v>99</v>
      </c>
      <c r="C287" s="23" t="s">
        <v>100</v>
      </c>
      <c r="D287" s="23" t="s">
        <v>579</v>
      </c>
      <c r="F287" s="805" t="s">
        <v>1366</v>
      </c>
    </row>
    <row r="288" spans="1:8">
      <c r="A288" s="713">
        <f t="shared" ref="A288:A304" si="27">A73</f>
        <v>2025</v>
      </c>
      <c r="B288" s="40"/>
      <c r="C288" s="40"/>
      <c r="D288" s="934">
        <f>IF(B288='Component Unit Template'!K164,SUM(B288:C288),"ERROR")</f>
        <v>0</v>
      </c>
      <c r="F288" s="807">
        <f>B288-F24</f>
        <v>0</v>
      </c>
    </row>
    <row r="289" spans="1:4">
      <c r="A289" s="713">
        <f t="shared" si="27"/>
        <v>2026</v>
      </c>
      <c r="B289" s="40"/>
      <c r="C289" s="40"/>
      <c r="D289" s="722">
        <f t="shared" ref="D289:D304" si="28">SUM(B289:C289)</f>
        <v>0</v>
      </c>
    </row>
    <row r="290" spans="1:4">
      <c r="A290" s="713">
        <f t="shared" si="27"/>
        <v>2027</v>
      </c>
      <c r="B290" s="40"/>
      <c r="C290" s="40"/>
      <c r="D290" s="722">
        <f t="shared" si="28"/>
        <v>0</v>
      </c>
    </row>
    <row r="291" spans="1:4">
      <c r="A291" s="713">
        <f t="shared" si="27"/>
        <v>2028</v>
      </c>
      <c r="B291" s="40"/>
      <c r="C291" s="40"/>
      <c r="D291" s="722">
        <f t="shared" si="28"/>
        <v>0</v>
      </c>
    </row>
    <row r="292" spans="1:4">
      <c r="A292" s="713">
        <f t="shared" si="27"/>
        <v>2029</v>
      </c>
      <c r="B292" s="40"/>
      <c r="C292" s="40"/>
      <c r="D292" s="722">
        <f t="shared" si="28"/>
        <v>0</v>
      </c>
    </row>
    <row r="293" spans="1:4">
      <c r="A293" s="713" t="str">
        <f t="shared" si="27"/>
        <v>2030-2034</v>
      </c>
      <c r="B293" s="40"/>
      <c r="C293" s="40"/>
      <c r="D293" s="722">
        <f t="shared" si="28"/>
        <v>0</v>
      </c>
    </row>
    <row r="294" spans="1:4">
      <c r="A294" s="713" t="str">
        <f t="shared" si="27"/>
        <v>2035-2039</v>
      </c>
      <c r="B294" s="40"/>
      <c r="C294" s="40"/>
      <c r="D294" s="722">
        <f t="shared" si="28"/>
        <v>0</v>
      </c>
    </row>
    <row r="295" spans="1:4">
      <c r="A295" s="713" t="str">
        <f t="shared" si="27"/>
        <v>2040-2044</v>
      </c>
      <c r="B295" s="40"/>
      <c r="C295" s="40"/>
      <c r="D295" s="722">
        <f t="shared" si="28"/>
        <v>0</v>
      </c>
    </row>
    <row r="296" spans="1:4">
      <c r="A296" s="713" t="str">
        <f t="shared" si="27"/>
        <v>2045-2049</v>
      </c>
      <c r="B296" s="40"/>
      <c r="C296" s="40"/>
      <c r="D296" s="722">
        <f t="shared" si="28"/>
        <v>0</v>
      </c>
    </row>
    <row r="297" spans="1:4">
      <c r="A297" s="713" t="str">
        <f t="shared" si="27"/>
        <v>2050-2054</v>
      </c>
      <c r="B297" s="40"/>
      <c r="C297" s="40"/>
      <c r="D297" s="722">
        <f t="shared" si="28"/>
        <v>0</v>
      </c>
    </row>
    <row r="298" spans="1:4">
      <c r="A298" s="713" t="str">
        <f t="shared" si="27"/>
        <v>2055-2059</v>
      </c>
      <c r="B298" s="40"/>
      <c r="C298" s="40"/>
      <c r="D298" s="722">
        <f t="shared" si="28"/>
        <v>0</v>
      </c>
    </row>
    <row r="299" spans="1:4">
      <c r="A299" s="713" t="str">
        <f t="shared" si="27"/>
        <v>2060-2064</v>
      </c>
      <c r="B299" s="40"/>
      <c r="C299" s="40"/>
      <c r="D299" s="722">
        <f t="shared" si="28"/>
        <v>0</v>
      </c>
    </row>
    <row r="300" spans="1:4">
      <c r="A300" s="713" t="str">
        <f t="shared" si="27"/>
        <v>2065-2069</v>
      </c>
      <c r="B300" s="40"/>
      <c r="C300" s="40"/>
      <c r="D300" s="722">
        <f t="shared" si="28"/>
        <v>0</v>
      </c>
    </row>
    <row r="301" spans="1:4">
      <c r="A301" s="713" t="str">
        <f t="shared" si="27"/>
        <v>2070-2074</v>
      </c>
      <c r="B301" s="40"/>
      <c r="C301" s="40"/>
      <c r="D301" s="722">
        <f t="shared" si="28"/>
        <v>0</v>
      </c>
    </row>
    <row r="302" spans="1:4">
      <c r="A302" s="713" t="str">
        <f t="shared" si="27"/>
        <v>2075-2079</v>
      </c>
      <c r="B302" s="40"/>
      <c r="C302" s="40"/>
      <c r="D302" s="722">
        <f t="shared" si="28"/>
        <v>0</v>
      </c>
    </row>
    <row r="303" spans="1:4">
      <c r="A303" s="713" t="str">
        <f t="shared" si="27"/>
        <v>2080-2084</v>
      </c>
      <c r="B303" s="40"/>
      <c r="C303" s="40"/>
      <c r="D303" s="722">
        <f t="shared" si="28"/>
        <v>0</v>
      </c>
    </row>
    <row r="304" spans="1:4" ht="13.5" thickBot="1">
      <c r="A304" s="713" t="str">
        <f t="shared" si="27"/>
        <v>2085-2089</v>
      </c>
      <c r="B304" s="723"/>
      <c r="C304" s="723"/>
      <c r="D304" s="724">
        <f t="shared" si="28"/>
        <v>0</v>
      </c>
    </row>
    <row r="305" spans="1:12" ht="13.5" thickBot="1">
      <c r="A305" s="32" t="s">
        <v>579</v>
      </c>
      <c r="B305" s="725">
        <f>IF(SUM(B288:B304)=('Component Unit Template'!K164+'Component Unit Template'!K185),SUM(B288:B304),"ERROR")</f>
        <v>0</v>
      </c>
      <c r="C305" s="725">
        <f>SUM(C288:C304)</f>
        <v>0</v>
      </c>
      <c r="D305" s="725">
        <f>SUM(D288:D304)</f>
        <v>0</v>
      </c>
    </row>
    <row r="306" spans="1:12" ht="19.5" customHeight="1" thickTop="1">
      <c r="A306" s="133" t="s">
        <v>47</v>
      </c>
      <c r="B306" s="730">
        <f>(SUM(B288:B304))-SUM('Component Unit Template'!K164+'Component Unit Template'!K185)</f>
        <v>0</v>
      </c>
      <c r="C306" s="731"/>
      <c r="D306" s="731"/>
    </row>
    <row r="307" spans="1:12" ht="19.5" customHeight="1">
      <c r="A307" s="856"/>
      <c r="B307" s="857"/>
      <c r="C307" s="858"/>
      <c r="D307" s="858"/>
      <c r="E307" s="348"/>
      <c r="F307" s="348"/>
    </row>
    <row r="308" spans="1:12" ht="23.25" customHeight="1">
      <c r="A308" s="859" t="s">
        <v>1588</v>
      </c>
      <c r="B308" s="860"/>
      <c r="C308" s="860"/>
      <c r="D308" s="860"/>
      <c r="E308" s="710"/>
      <c r="F308" s="710"/>
      <c r="G308" s="710"/>
      <c r="H308" s="710"/>
    </row>
    <row r="309" spans="1:12" ht="71.25" customHeight="1">
      <c r="A309" s="1399" t="s">
        <v>1420</v>
      </c>
      <c r="B309" s="1399"/>
      <c r="C309" s="1399"/>
      <c r="D309" s="1399"/>
      <c r="E309" s="1399"/>
      <c r="F309" s="1399"/>
      <c r="G309" s="1399"/>
      <c r="H309" s="131"/>
      <c r="I309" s="131"/>
    </row>
    <row r="310" spans="1:12">
      <c r="A310" s="1196"/>
      <c r="B310" s="1197"/>
      <c r="C310" s="1197"/>
      <c r="D310" s="1197"/>
      <c r="E310" s="1197"/>
      <c r="F310" s="1197"/>
      <c r="G310" s="1198"/>
      <c r="H310" s="374"/>
      <c r="I310" s="374"/>
      <c r="J310" s="374"/>
      <c r="K310" s="374"/>
      <c r="L310" s="374"/>
    </row>
    <row r="311" spans="1:12">
      <c r="A311" s="1199"/>
      <c r="B311" s="1200"/>
      <c r="C311" s="1200"/>
      <c r="D311" s="1200"/>
      <c r="E311" s="1200"/>
      <c r="F311" s="1200"/>
      <c r="G311" s="1201"/>
      <c r="H311" s="374"/>
      <c r="I311" s="374"/>
      <c r="J311" s="374"/>
      <c r="K311" s="374"/>
      <c r="L311" s="374"/>
    </row>
    <row r="312" spans="1:12">
      <c r="A312" s="1199"/>
      <c r="B312" s="1200"/>
      <c r="C312" s="1200"/>
      <c r="D312" s="1200"/>
      <c r="E312" s="1200"/>
      <c r="F312" s="1200"/>
      <c r="G312" s="1201"/>
      <c r="H312" s="374"/>
      <c r="I312" s="374"/>
      <c r="J312" s="374"/>
      <c r="K312" s="374"/>
      <c r="L312" s="374"/>
    </row>
    <row r="313" spans="1:12">
      <c r="A313" s="1199"/>
      <c r="B313" s="1200"/>
      <c r="C313" s="1200"/>
      <c r="D313" s="1200"/>
      <c r="E313" s="1200"/>
      <c r="F313" s="1200"/>
      <c r="G313" s="1201"/>
      <c r="H313" s="374"/>
      <c r="I313" s="374"/>
      <c r="J313" s="374"/>
      <c r="K313" s="374"/>
      <c r="L313" s="374"/>
    </row>
    <row r="314" spans="1:12" ht="12" customHeight="1">
      <c r="A314" s="1202"/>
      <c r="B314" s="1203"/>
      <c r="C314" s="1203"/>
      <c r="D314" s="1203"/>
      <c r="E314" s="1203"/>
      <c r="F314" s="1203"/>
      <c r="G314" s="1204"/>
      <c r="H314" s="374"/>
      <c r="I314" s="374"/>
      <c r="J314" s="374"/>
      <c r="K314" s="374"/>
      <c r="L314" s="374"/>
    </row>
    <row r="315" spans="1:12" ht="21.75" customHeight="1">
      <c r="A315" s="680"/>
      <c r="B315" s="680"/>
      <c r="C315" s="680"/>
      <c r="D315" s="680"/>
      <c r="E315" s="680"/>
    </row>
    <row r="316" spans="1:12" ht="15" customHeight="1">
      <c r="A316" s="1398" t="s">
        <v>1589</v>
      </c>
      <c r="B316" s="1398"/>
      <c r="C316" s="680"/>
      <c r="D316" s="680"/>
      <c r="E316" s="680"/>
    </row>
    <row r="317" spans="1:12" ht="113.25" customHeight="1">
      <c r="A317" s="1212" t="s">
        <v>1421</v>
      </c>
      <c r="B317" s="1212"/>
      <c r="C317" s="1212"/>
      <c r="D317" s="1212"/>
      <c r="E317" s="1212"/>
      <c r="F317" s="1212"/>
      <c r="G317" s="1212"/>
      <c r="H317" s="131"/>
      <c r="I317" s="131"/>
      <c r="J317" s="675"/>
      <c r="K317" s="675"/>
      <c r="L317" s="675"/>
    </row>
    <row r="318" spans="1:12" ht="11.25" customHeight="1">
      <c r="A318" s="1196"/>
      <c r="B318" s="1197"/>
      <c r="C318" s="1197"/>
      <c r="D318" s="1197"/>
      <c r="E318" s="1197"/>
      <c r="F318" s="1197"/>
      <c r="G318" s="1198"/>
      <c r="H318" s="131"/>
      <c r="I318" s="131"/>
      <c r="J318" s="131"/>
      <c r="K318" s="131"/>
      <c r="L318" s="131"/>
    </row>
    <row r="319" spans="1:12" ht="11.25" customHeight="1">
      <c r="A319" s="1199"/>
      <c r="B319" s="1200"/>
      <c r="C319" s="1200"/>
      <c r="D319" s="1200"/>
      <c r="E319" s="1200"/>
      <c r="F319" s="1200"/>
      <c r="G319" s="1201"/>
      <c r="H319" s="131"/>
      <c r="I319" s="131"/>
      <c r="J319" s="131"/>
      <c r="K319" s="131"/>
      <c r="L319" s="131"/>
    </row>
    <row r="320" spans="1:12" ht="11.25" customHeight="1">
      <c r="A320" s="1199"/>
      <c r="B320" s="1200"/>
      <c r="C320" s="1200"/>
      <c r="D320" s="1200"/>
      <c r="E320" s="1200"/>
      <c r="F320" s="1200"/>
      <c r="G320" s="1201"/>
      <c r="H320" s="131"/>
      <c r="I320" s="131"/>
      <c r="J320" s="131"/>
      <c r="K320" s="131"/>
      <c r="L320" s="131"/>
    </row>
    <row r="321" spans="1:12" ht="11.25" customHeight="1">
      <c r="A321" s="1199"/>
      <c r="B321" s="1200"/>
      <c r="C321" s="1200"/>
      <c r="D321" s="1200"/>
      <c r="E321" s="1200"/>
      <c r="F321" s="1200"/>
      <c r="G321" s="1201"/>
      <c r="H321" s="131"/>
      <c r="I321" s="131"/>
      <c r="J321" s="131"/>
      <c r="K321" s="131"/>
      <c r="L321" s="131"/>
    </row>
    <row r="322" spans="1:12" ht="11.25" customHeight="1">
      <c r="A322" s="1202"/>
      <c r="B322" s="1203"/>
      <c r="C322" s="1203"/>
      <c r="D322" s="1203"/>
      <c r="E322" s="1203"/>
      <c r="F322" s="1203"/>
      <c r="G322" s="1204"/>
      <c r="H322" s="131"/>
      <c r="I322" s="131"/>
      <c r="J322" s="131"/>
      <c r="K322" s="131"/>
      <c r="L322" s="131"/>
    </row>
    <row r="323" spans="1:12" ht="11.25" customHeight="1">
      <c r="A323" s="404"/>
      <c r="B323" s="404"/>
      <c r="C323" s="404"/>
      <c r="D323" s="404"/>
      <c r="E323" s="404"/>
      <c r="F323" s="404"/>
      <c r="G323" s="404"/>
    </row>
    <row r="324" spans="1:12" ht="18" customHeight="1">
      <c r="A324" s="18" t="s">
        <v>1590</v>
      </c>
      <c r="B324" s="404"/>
      <c r="C324" s="404"/>
      <c r="D324" s="404"/>
      <c r="E324" s="404"/>
      <c r="F324" s="404"/>
      <c r="G324" s="404"/>
    </row>
    <row r="325" spans="1:12">
      <c r="A325" s="19" t="s">
        <v>1192</v>
      </c>
      <c r="B325" s="404"/>
      <c r="C325" s="404"/>
      <c r="D325" s="404"/>
      <c r="E325" s="404"/>
      <c r="F325" s="404"/>
      <c r="G325" s="404"/>
      <c r="H325" s="374"/>
      <c r="I325" s="374"/>
      <c r="J325" s="374"/>
      <c r="K325" s="374"/>
      <c r="L325" s="374"/>
    </row>
    <row r="326" spans="1:12">
      <c r="A326" s="1196" t="str">
        <f>IF(OR($E$35&gt;0,$E$35&lt;0),"Answer Required","N/A")</f>
        <v>N/A</v>
      </c>
      <c r="B326" s="1197"/>
      <c r="C326" s="1197"/>
      <c r="D326" s="1197"/>
      <c r="E326" s="1197"/>
      <c r="F326" s="1197"/>
      <c r="G326" s="1198"/>
      <c r="H326" s="374"/>
      <c r="I326" s="374"/>
      <c r="J326" s="374"/>
      <c r="K326" s="374"/>
      <c r="L326" s="374"/>
    </row>
    <row r="327" spans="1:12">
      <c r="A327" s="1199"/>
      <c r="B327" s="1200"/>
      <c r="C327" s="1200"/>
      <c r="D327" s="1200"/>
      <c r="E327" s="1200"/>
      <c r="F327" s="1200"/>
      <c r="G327" s="1201"/>
      <c r="H327" s="374"/>
      <c r="I327" s="374"/>
      <c r="J327" s="374"/>
      <c r="K327" s="374"/>
      <c r="L327" s="374"/>
    </row>
    <row r="328" spans="1:12">
      <c r="A328" s="1199"/>
      <c r="B328" s="1200"/>
      <c r="C328" s="1200"/>
      <c r="D328" s="1200"/>
      <c r="E328" s="1200"/>
      <c r="F328" s="1200"/>
      <c r="G328" s="1201"/>
      <c r="H328" s="374"/>
      <c r="I328" s="374"/>
      <c r="J328" s="374"/>
      <c r="K328" s="374"/>
      <c r="L328" s="374"/>
    </row>
    <row r="329" spans="1:12">
      <c r="A329" s="1199"/>
      <c r="B329" s="1200"/>
      <c r="C329" s="1200"/>
      <c r="D329" s="1200"/>
      <c r="E329" s="1200"/>
      <c r="F329" s="1200"/>
      <c r="G329" s="1201"/>
      <c r="H329" s="374"/>
      <c r="I329" s="374"/>
      <c r="J329" s="374"/>
      <c r="K329" s="374"/>
      <c r="L329" s="374"/>
    </row>
    <row r="330" spans="1:12">
      <c r="A330" s="1199"/>
      <c r="B330" s="1200"/>
      <c r="C330" s="1200"/>
      <c r="D330" s="1200"/>
      <c r="E330" s="1200"/>
      <c r="F330" s="1200"/>
      <c r="G330" s="1201"/>
      <c r="H330" s="374"/>
      <c r="I330" s="374"/>
      <c r="J330" s="374"/>
      <c r="K330" s="374"/>
      <c r="L330" s="374"/>
    </row>
    <row r="331" spans="1:12">
      <c r="A331" s="1202"/>
      <c r="B331" s="1203"/>
      <c r="C331" s="1203"/>
      <c r="D331" s="1203"/>
      <c r="E331" s="1203"/>
      <c r="F331" s="1203"/>
      <c r="G331" s="1204"/>
      <c r="H331" s="374"/>
      <c r="I331" s="374"/>
      <c r="J331" s="374"/>
      <c r="K331" s="374"/>
      <c r="L331" s="374"/>
    </row>
    <row r="332" spans="1:12">
      <c r="A332" s="404"/>
      <c r="B332" s="404"/>
      <c r="C332" s="404"/>
      <c r="D332" s="404"/>
      <c r="E332" s="404"/>
      <c r="F332" s="404"/>
      <c r="G332" s="404"/>
      <c r="H332" s="374"/>
      <c r="I332" s="374"/>
      <c r="J332" s="374"/>
      <c r="K332" s="374"/>
      <c r="L332" s="374"/>
    </row>
    <row r="333" spans="1:12">
      <c r="H333" s="374"/>
      <c r="I333" s="374"/>
      <c r="J333" s="374"/>
      <c r="K333" s="374"/>
      <c r="L333" s="374"/>
    </row>
    <row r="334" spans="1:12">
      <c r="H334" s="404"/>
      <c r="I334" s="404"/>
      <c r="J334" s="404"/>
      <c r="K334" s="404"/>
      <c r="L334" s="404"/>
    </row>
    <row r="347" spans="1:1">
      <c r="A347" s="18"/>
    </row>
    <row r="373" spans="1:1" hidden="1">
      <c r="A373" s="19" t="s">
        <v>651</v>
      </c>
    </row>
    <row r="374" spans="1:1" hidden="1">
      <c r="A374" s="19" t="s">
        <v>527</v>
      </c>
    </row>
    <row r="375" spans="1:1" hidden="1">
      <c r="A375" s="19" t="s">
        <v>652</v>
      </c>
    </row>
    <row r="376" spans="1:1" hidden="1">
      <c r="A376" s="19" t="s">
        <v>231</v>
      </c>
    </row>
  </sheetData>
  <sheetProtection algorithmName="SHA-512" hashValue="oIDyYrxxzPFJ/wqxcOOlw1OZAitIOgEjQm6KpzbWhmcqIUJP6dl0zBijAmT0NLGr4aRGe3rT4grrVF/GUjHh1w==" saltValue="AC7YH1AqG5kI44zCJHDFCQ==" spinCount="100000" sheet="1" objects="1" scenarios="1"/>
  <customSheetViews>
    <customSheetView guid="{FBB78E72-3FBC-498A-91AC-D094BCE26D3C}" showGridLines="0" hiddenRows="1">
      <selection activeCell="C196" sqref="C196"/>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selection activeCell="C196" sqref="C196"/>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selection activeCell="C196" sqref="C196"/>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cale="85" showPageBreaks="1" showGridLines="0" printArea="1" hiddenRows="1" view="pageBreakPreview" topLeftCell="A10">
      <selection activeCell="A24" sqref="A24"/>
      <rowBreaks count="3" manualBreakCount="3">
        <brk id="88" max="8" man="1"/>
        <brk id="188" max="8" man="1"/>
        <brk id="202" max="16383" man="1"/>
      </rowBreaks>
      <colBreaks count="1" manualBreakCount="1">
        <brk id="9" max="188" man="1"/>
      </colBreaks>
      <pageMargins left="0.61" right="0.28000000000000003" top="0.63" bottom="0.56999999999999995" header="0.25" footer="0.36"/>
      <pageSetup scale="54"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cale="80" showPageBreaks="1" showGridLines="0" printArea="1" hiddenRows="1" view="pageBreakPreview">
      <selection activeCell="A133" sqref="A133"/>
      <rowBreaks count="3" manualBreakCount="3">
        <brk id="59" max="11" man="1"/>
        <brk id="113" max="11" man="1"/>
        <brk id="205" max="16383" man="1"/>
      </rowBreaks>
      <pageMargins left="0.61" right="0.28000000000000003" top="0.63" bottom="0.56999999999999995" header="0.25" footer="0.36"/>
      <pageSetup paperSize="5" scale="39" orientation="landscape"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27">
    <mergeCell ref="A277:H277"/>
    <mergeCell ref="A281:F281"/>
    <mergeCell ref="A283:H283"/>
    <mergeCell ref="B6:F6"/>
    <mergeCell ref="F41:I41"/>
    <mergeCell ref="A65:G65"/>
    <mergeCell ref="B1:F1"/>
    <mergeCell ref="B2:F2"/>
    <mergeCell ref="B3:F3"/>
    <mergeCell ref="B4:F4"/>
    <mergeCell ref="B5:F5"/>
    <mergeCell ref="A318:G322"/>
    <mergeCell ref="A326:G331"/>
    <mergeCell ref="K43:S43"/>
    <mergeCell ref="A38:G38"/>
    <mergeCell ref="A317:G317"/>
    <mergeCell ref="A316:B316"/>
    <mergeCell ref="A309:G309"/>
    <mergeCell ref="A310:G314"/>
    <mergeCell ref="B71:D71"/>
    <mergeCell ref="E71:G71"/>
    <mergeCell ref="H71:J71"/>
    <mergeCell ref="A178:F178"/>
    <mergeCell ref="A180:H180"/>
    <mergeCell ref="A183:F183"/>
    <mergeCell ref="A185:H185"/>
    <mergeCell ref="A244:H244"/>
  </mergeCells>
  <phoneticPr fontId="27" type="noConversion"/>
  <conditionalFormatting sqref="A65:A66">
    <cfRule type="containsText" dxfId="194" priority="104" operator="containsText" text="Answer Required">
      <formula>NOT(ISERROR(SEARCH("Answer Required",A65)))</formula>
    </cfRule>
  </conditionalFormatting>
  <conditionalFormatting sqref="A244">
    <cfRule type="cellIs" dxfId="193" priority="3" operator="equal">
      <formula>"Answer Required"</formula>
    </cfRule>
  </conditionalFormatting>
  <conditionalFormatting sqref="A277">
    <cfRule type="cellIs" dxfId="192" priority="17" operator="equal">
      <formula>"Answer Required"</formula>
    </cfRule>
  </conditionalFormatting>
  <conditionalFormatting sqref="A326:G331">
    <cfRule type="cellIs" dxfId="191" priority="24" operator="equal">
      <formula>"Answer Required"</formula>
    </cfRule>
  </conditionalFormatting>
  <conditionalFormatting sqref="A180:H180">
    <cfRule type="cellIs" dxfId="190" priority="21" operator="equal">
      <formula>"Answer Required"</formula>
    </cfRule>
  </conditionalFormatting>
  <conditionalFormatting sqref="A185:H185">
    <cfRule type="cellIs" dxfId="189" priority="20" operator="equal">
      <formula>"Answer Required"</formula>
    </cfRule>
  </conditionalFormatting>
  <conditionalFormatting sqref="A245:H245">
    <cfRule type="cellIs" dxfId="188" priority="5" operator="equal">
      <formula>"Answer Required"</formula>
    </cfRule>
  </conditionalFormatting>
  <conditionalFormatting sqref="A278:H278">
    <cfRule type="cellIs" dxfId="187" priority="23" operator="equal">
      <formula>"Answer Required"</formula>
    </cfRule>
  </conditionalFormatting>
  <conditionalFormatting sqref="A283:H283">
    <cfRule type="cellIs" dxfId="186" priority="22" operator="equal">
      <formula>"Answer Required"</formula>
    </cfRule>
  </conditionalFormatting>
  <conditionalFormatting sqref="B95">
    <cfRule type="cellIs" dxfId="185" priority="71" operator="equal">
      <formula>"ERROR"</formula>
    </cfRule>
  </conditionalFormatting>
  <conditionalFormatting sqref="B148 F175 B305">
    <cfRule type="cellIs" dxfId="184" priority="70" operator="equal">
      <formula>"ERROR"</formula>
    </cfRule>
  </conditionalFormatting>
  <conditionalFormatting sqref="B175:D175">
    <cfRule type="cellIs" dxfId="183" priority="58" operator="equal">
      <formula>"ERROR"</formula>
    </cfRule>
  </conditionalFormatting>
  <conditionalFormatting sqref="B212:D212">
    <cfRule type="cellIs" dxfId="182" priority="54" operator="equal">
      <formula>"ERROR"</formula>
    </cfRule>
  </conditionalFormatting>
  <conditionalFormatting sqref="B239:D240">
    <cfRule type="cellIs" dxfId="181" priority="10" operator="equal">
      <formula>"ERROR"</formula>
    </cfRule>
  </conditionalFormatting>
  <conditionalFormatting sqref="B272:D273">
    <cfRule type="cellIs" dxfId="180" priority="36" operator="equal">
      <formula>"ERROR"</formula>
    </cfRule>
  </conditionalFormatting>
  <conditionalFormatting sqref="D131">
    <cfRule type="cellIs" dxfId="179" priority="2" operator="equal">
      <formula>"ERROR"</formula>
    </cfRule>
  </conditionalFormatting>
  <conditionalFormatting sqref="D288">
    <cfRule type="cellIs" dxfId="178" priority="1" operator="equal">
      <formula>"ERROR"</formula>
    </cfRule>
  </conditionalFormatting>
  <conditionalFormatting sqref="D121:E122">
    <cfRule type="cellIs" dxfId="177" priority="76" operator="equal">
      <formula>"Answer Required"</formula>
    </cfRule>
  </conditionalFormatting>
  <conditionalFormatting sqref="E18:E30">
    <cfRule type="cellIs" dxfId="176" priority="47" operator="equal">
      <formula>"ERROR"</formula>
    </cfRule>
  </conditionalFormatting>
  <conditionalFormatting sqref="E95">
    <cfRule type="cellIs" dxfId="175" priority="67" operator="equal">
      <formula>"ERROR"</formula>
    </cfRule>
  </conditionalFormatting>
  <conditionalFormatting sqref="E109">
    <cfRule type="cellIs" dxfId="174" priority="94" operator="equal">
      <formula>"Answer Required"</formula>
    </cfRule>
  </conditionalFormatting>
  <conditionalFormatting sqref="E113:E114">
    <cfRule type="cellIs" dxfId="173" priority="99" operator="equal">
      <formula>"Answer Required"</formula>
    </cfRule>
  </conditionalFormatting>
  <conditionalFormatting sqref="E117:E118">
    <cfRule type="cellIs" dxfId="172" priority="64" operator="equal">
      <formula>"Answer Required"</formula>
    </cfRule>
  </conditionalFormatting>
  <conditionalFormatting sqref="E125">
    <cfRule type="cellIs" dxfId="171" priority="95" operator="equal">
      <formula>"Answer Required"</formula>
    </cfRule>
  </conditionalFormatting>
  <conditionalFormatting sqref="E35:G35">
    <cfRule type="cellIs" dxfId="170" priority="72" operator="equal">
      <formula>"ERROR"</formula>
    </cfRule>
  </conditionalFormatting>
  <conditionalFormatting sqref="F212">
    <cfRule type="cellIs" dxfId="169" priority="56" operator="equal">
      <formula>"ERROR"</formula>
    </cfRule>
  </conditionalFormatting>
  <conditionalFormatting sqref="F169:H171">
    <cfRule type="cellIs" dxfId="168" priority="31" operator="equal">
      <formula>"Answer Required"</formula>
    </cfRule>
  </conditionalFormatting>
  <conditionalFormatting sqref="F234:H236">
    <cfRule type="cellIs" dxfId="167" priority="16" operator="equal">
      <formula>"Answer Required"</formula>
    </cfRule>
  </conditionalFormatting>
  <conditionalFormatting sqref="F239:H240">
    <cfRule type="cellIs" dxfId="166" priority="6" operator="equal">
      <formula>"Answer Required"</formula>
    </cfRule>
  </conditionalFormatting>
  <conditionalFormatting sqref="F272:H273">
    <cfRule type="cellIs" dxfId="165" priority="25" operator="equal">
      <formula>"Answer Required"</formula>
    </cfRule>
  </conditionalFormatting>
  <conditionalFormatting sqref="H18:H19 H24 H29 H31:H34">
    <cfRule type="cellIs" dxfId="164" priority="78" operator="equal">
      <formula>"Answer Required"</formula>
    </cfRule>
  </conditionalFormatting>
  <conditionalFormatting sqref="H95">
    <cfRule type="cellIs" dxfId="163" priority="66" operator="equal">
      <formula>"ERROR"</formula>
    </cfRule>
  </conditionalFormatting>
  <conditionalFormatting sqref="H157">
    <cfRule type="cellIs" dxfId="162" priority="96" operator="equal">
      <formula>"Answer Required"</formula>
    </cfRule>
  </conditionalFormatting>
  <conditionalFormatting sqref="H170">
    <cfRule type="cellIs" dxfId="161" priority="30" operator="equal">
      <formula>"Error"</formula>
    </cfRule>
  </conditionalFormatting>
  <conditionalFormatting sqref="H178">
    <cfRule type="cellIs" dxfId="160" priority="62" operator="equal">
      <formula>"Answer Required"</formula>
    </cfRule>
    <cfRule type="cellIs" dxfId="159" priority="63" operator="equal">
      <formula>"Error"</formula>
    </cfRule>
  </conditionalFormatting>
  <conditionalFormatting sqref="H183">
    <cfRule type="cellIs" dxfId="158" priority="60" operator="equal">
      <formula>"Answer Required"</formula>
    </cfRule>
    <cfRule type="cellIs" dxfId="157" priority="61" operator="equal">
      <formula>"Error"</formula>
    </cfRule>
  </conditionalFormatting>
  <conditionalFormatting sqref="H194">
    <cfRule type="cellIs" dxfId="156" priority="57" operator="equal">
      <formula>"Answer Required"</formula>
    </cfRule>
  </conditionalFormatting>
  <conditionalFormatting sqref="H221:H222">
    <cfRule type="cellIs" dxfId="155" priority="4" operator="equal">
      <formula>"Answer Required"</formula>
    </cfRule>
  </conditionalFormatting>
  <conditionalFormatting sqref="H227:H228">
    <cfRule type="cellIs" dxfId="154" priority="15" operator="equal">
      <formula>"Answer Required"</formula>
    </cfRule>
  </conditionalFormatting>
  <conditionalFormatting sqref="H239:H240">
    <cfRule type="cellIs" dxfId="153" priority="7" operator="equal">
      <formula>"Error"</formula>
    </cfRule>
  </conditionalFormatting>
  <conditionalFormatting sqref="H242:H243">
    <cfRule type="cellIs" dxfId="152" priority="13" operator="equal">
      <formula>"Error"</formula>
    </cfRule>
    <cfRule type="cellIs" dxfId="151" priority="12" operator="equal">
      <formula>"Answer Required"</formula>
    </cfRule>
  </conditionalFormatting>
  <conditionalFormatting sqref="H254:H255">
    <cfRule type="cellIs" dxfId="150" priority="18" operator="equal">
      <formula>"Answer Required"</formula>
    </cfRule>
  </conditionalFormatting>
  <conditionalFormatting sqref="H260:H261">
    <cfRule type="cellIs" dxfId="149" priority="43" operator="equal">
      <formula>"Answer Required"</formula>
    </cfRule>
  </conditionalFormatting>
  <conditionalFormatting sqref="H272:H273">
    <cfRule type="cellIs" dxfId="148" priority="26" operator="equal">
      <formula>"Error"</formula>
    </cfRule>
  </conditionalFormatting>
  <conditionalFormatting sqref="H275:H276">
    <cfRule type="cellIs" dxfId="147" priority="40" operator="equal">
      <formula>"Answer Required"</formula>
    </cfRule>
    <cfRule type="cellIs" dxfId="146" priority="41" operator="equal">
      <formula>"Error"</formula>
    </cfRule>
  </conditionalFormatting>
  <conditionalFormatting sqref="H281">
    <cfRule type="cellIs" dxfId="145" priority="39" operator="equal">
      <formula>"Error"</formula>
    </cfRule>
    <cfRule type="cellIs" dxfId="144" priority="38" operator="equal">
      <formula>"Answer Required"</formula>
    </cfRule>
  </conditionalFormatting>
  <conditionalFormatting sqref="I16">
    <cfRule type="cellIs" dxfId="143" priority="92" operator="equal">
      <formula>"Answer Required"</formula>
    </cfRule>
  </conditionalFormatting>
  <conditionalFormatting sqref="I18:J34">
    <cfRule type="cellIs" dxfId="142" priority="19" operator="equal">
      <formula>"Answer Required"</formula>
    </cfRule>
  </conditionalFormatting>
  <conditionalFormatting sqref="J97:L98">
    <cfRule type="cellIs" dxfId="141" priority="51" operator="equal">
      <formula>"Answer Required"</formula>
    </cfRule>
  </conditionalFormatting>
  <conditionalFormatting sqref="K18:K34">
    <cfRule type="cellIs" dxfId="140" priority="44" operator="equal">
      <formula>"ERROR"</formula>
    </cfRule>
  </conditionalFormatting>
  <conditionalFormatting sqref="L98">
    <cfRule type="cellIs" dxfId="139" priority="50" operator="equal">
      <formula>"Error"</formula>
    </cfRule>
  </conditionalFormatting>
  <conditionalFormatting sqref="O91 E106 D187 F267:H269">
    <cfRule type="cellIs" dxfId="138" priority="105" operator="equal">
      <formula>"Answer Required"</formula>
    </cfRule>
  </conditionalFormatting>
  <dataValidations count="26">
    <dataValidation type="list" allowBlank="1" showInputMessage="1" showErrorMessage="1" error="Use the drop-down list to enter Yes or No" sqref="E106" xr:uid="{00000000-0002-0000-0900-000000000000}">
      <formula1>$A$374:$A$375</formula1>
    </dataValidation>
    <dataValidation type="decimal" allowBlank="1" showInputMessage="1" showErrorMessage="1" errorTitle="Give percentage to the hundreths" error="Give percentage to the hundreths, between 0 and 25.99" sqref="E113:E115" xr:uid="{00000000-0002-0000-0900-000001000000}">
      <formula1>0</formula1>
      <formula2>25.99</formula2>
    </dataValidation>
    <dataValidation allowBlank="1" showInputMessage="1" errorTitle="Enter a date" sqref="D121:E122" xr:uid="{00000000-0002-0000-0900-000002000000}"/>
    <dataValidation type="whole" allowBlank="1" showInputMessage="1" showErrorMessage="1" sqref="F35 H38 F18:F30 G18:G34" xr:uid="{00000000-0002-0000-0900-000003000000}">
      <formula1>0</formula1>
      <formula2>9.99999999999999E+23</formula2>
    </dataValidation>
    <dataValidation type="whole" allowBlank="1" showInputMessage="1" showErrorMessage="1" sqref="C148 D131:D148 D191:D207 C182:D182 C186:D186 D154:D170 C284:D308 C280:D280 D251:D267 D218:D234" xr:uid="{00000000-0002-0000-0900-000004000000}">
      <formula1>0</formula1>
      <formula2>99999999999999900000</formula2>
    </dataValidation>
    <dataValidation type="whole" allowBlank="1" showErrorMessage="1" prompt="_x000a_" sqref="B148 B305:B308" xr:uid="{00000000-0002-0000-0900-000005000000}">
      <formula1>0</formula1>
      <formula2>99999999999999900000</formula2>
    </dataValidation>
    <dataValidation type="whole" allowBlank="1" showInputMessage="1" showErrorMessage="1" sqref="I158 E160:I160 I195 E197:I197 I261 E263:I263 I255 I228 E230:I230 I222" xr:uid="{00000000-0002-0000-0900-000006000000}">
      <formula1>0</formula1>
      <formula2>9999999999999990</formula2>
    </dataValidation>
    <dataValidation type="whole" allowBlank="1" showInputMessage="1" showErrorMessage="1" sqref="I159 I196 I262 I256 I229 I223" xr:uid="{00000000-0002-0000-0900-000007000000}">
      <formula1>-99999999999999</formula1>
      <formula2>9999999999999990</formula2>
    </dataValidation>
    <dataValidation allowBlank="1" showErrorMessage="1" prompt="_x000a_" sqref="B175:D175 B212:D212 B272:D272 B239:D239" xr:uid="{00000000-0002-0000-0900-000008000000}"/>
    <dataValidation type="whole" allowBlank="1" showInputMessage="1" showErrorMessage="1" sqref="D91:D93 G91:G93 J92:J93" xr:uid="{00000000-0002-0000-0900-000009000000}">
      <formula1>-99999999999999900</formula1>
      <formula2>999999999999999000</formula2>
    </dataValidation>
    <dataValidation allowBlank="1" showErrorMessage="1" sqref="B95 E95 H95" xr:uid="{00000000-0002-0000-0900-00000A000000}"/>
    <dataValidation type="whole" allowBlank="1" showInputMessage="1" showErrorMessage="1" error="Enter a whole number." sqref="B131:C147 I73:I93 H73:H91 C73:C93 B154:C170 B288:C304 E158:H158 E73:E89 E212 B73:B89 F73:F93 E175 B191:C207 E195:H195 B18:C35 B251:C267 E261:H261 E272 E255:H255 B218:C234 E228:H228 E239 E222:H222" xr:uid="{00000000-0002-0000-0900-00000B000000}">
      <formula1>-9999999999999</formula1>
      <formula2>9999999999999</formula2>
    </dataValidation>
    <dataValidation type="whole" allowBlank="1" showErrorMessage="1" prompt="_x000a_" sqref="B36:D37 F36:G37 E18:E37" xr:uid="{00000000-0002-0000-0900-00000C000000}">
      <formula1>0</formula1>
      <formula2>9.99999999999999E+23</formula2>
    </dataValidation>
    <dataValidation type="whole" allowBlank="1" showInputMessage="1" showErrorMessage="1" error="Enter a negative whole number." promptTitle="Please enter negative number" sqref="D18:D35" xr:uid="{00000000-0002-0000-0900-00000D000000}">
      <formula1>-9.99999999999999E+27</formula1>
      <formula2>0</formula2>
    </dataValidation>
    <dataValidation type="whole" allowBlank="1" showInputMessage="1" showErrorMessage="1" error="Enter a negative number." prompt="Please enter negative number" sqref="B174:C174 E92:E93 B172:C172 B209:C209 H92:H93 B211:C211 B92:B93 B271:C271 B269:C269 B238:C238 B236:C236" xr:uid="{00000000-0002-0000-0900-00000E000000}">
      <formula1>-9999999999999</formula1>
      <formula2>0</formula2>
    </dataValidation>
    <dataValidation type="whole" allowBlank="1" showInputMessage="1" showErrorMessage="1" error="Enter a negative whole number." sqref="E159:H159 E196:H196 E262:H262 E256:H256 E229:H229 E223:H223" xr:uid="{00000000-0002-0000-0900-00000F000000}">
      <formula1>-9.99999999999999E+22</formula1>
      <formula2>-1</formula2>
    </dataValidation>
    <dataValidation type="whole" allowBlank="1" showInputMessage="1" showErrorMessage="1" error="Enter a positive whole number" sqref="F31:F34" xr:uid="{00000000-0002-0000-0900-000010000000}">
      <formula1>0</formula1>
      <formula2>9.99999999999999E+23</formula2>
    </dataValidation>
    <dataValidation type="whole" allowBlank="1" showInputMessage="1" showErrorMessage="1" error="Enter a whole number" sqref="E109 E125 O91 D117:D118" xr:uid="{00000000-0002-0000-0900-000011000000}">
      <formula1>-9999999999999</formula1>
      <formula2>9999999999999</formula2>
    </dataValidation>
    <dataValidation type="whole" allowBlank="1" showInputMessage="1" showErrorMessage="1" error="Enter whole number." sqref="H31:H34 H18:H19 H29 I18:J34 F171:G171 H24 F268:G268 F235:G235" xr:uid="{00000000-0002-0000-0900-000012000000}">
      <formula1>-100000000000000000000</formula1>
      <formula2>1000000000000000000</formula2>
    </dataValidation>
    <dataValidation type="decimal" allowBlank="1" showInputMessage="1" showErrorMessage="1" errorTitle="Enter a date" error="Give percentage to the hundreths between 0 and 25.99" sqref="E117:E118" xr:uid="{00000000-0002-0000-0900-000013000000}">
      <formula1>0</formula1>
      <formula2>25.99</formula2>
    </dataValidation>
    <dataValidation type="whole" allowBlank="1" showInputMessage="1" showErrorMessage="1" error="Enter a positive whole number." sqref="B90 E90" xr:uid="{00000000-0002-0000-0900-000014000000}">
      <formula1>0</formula1>
      <formula2>9999999999999</formula2>
    </dataValidation>
    <dataValidation type="list" allowBlank="1" showInputMessage="1" showErrorMessage="1" error="Please use the drop-down to select Yes or No." sqref="H178 H281 H183 H275 H242" xr:uid="{00000000-0002-0000-0900-000015000000}">
      <formula1>$A$374:$A$375</formula1>
    </dataValidation>
    <dataValidation type="whole" allowBlank="1" showInputMessage="1" showErrorMessage="1" sqref="B182 B186 B280 B284:B307" xr:uid="{00000000-0002-0000-0900-000016000000}">
      <formula1>-9999999999999</formula1>
      <formula2>9999999999999</formula2>
    </dataValidation>
    <dataValidation type="whole" allowBlank="1" showErrorMessage="1" error="Enter a negative whole number." prompt="Please enter negative number" sqref="E91 B91" xr:uid="{00000000-0002-0000-0900-000017000000}">
      <formula1>-9999999999999</formula1>
      <formula2>0</formula2>
    </dataValidation>
    <dataValidation type="whole" allowBlank="1" showInputMessage="1" showErrorMessage="1" error="Please enter a whole number" sqref="J98:K98 F170:G170" xr:uid="{433A2B47-C7FB-4B51-8018-6B3553616EEF}">
      <formula1>-100000000000000000000</formula1>
      <formula2>100000000000000000000</formula2>
    </dataValidation>
    <dataValidation type="whole" allowBlank="1" showInputMessage="1" showErrorMessage="1" error="Please enter a whole number" sqref="F239:G239 F272:G272" xr:uid="{AA95AB0F-569A-4269-BCCD-DB96063FD40C}">
      <formula1>-1E+23</formula1>
      <formula2>1E+24</formula2>
    </dataValidation>
  </dataValidations>
  <pageMargins left="0.86" right="0.28000000000000003" top="0.63" bottom="0.56999999999999995" header="0.25" footer="0.36"/>
  <pageSetup paperSize="5" scale="48" fitToHeight="5" orientation="landscape" cellComments="asDisplayed" r:id="rId6"/>
  <headerFooter alignWithMargins="0">
    <oddHeader>&amp;C&amp;"Times New Roman,Bold"Attachment CU4
Financial Statement Template (FST)
&amp;A</oddHeader>
    <oddFooter>&amp;L&amp;"Times New Roman,Regular"&amp;F \ &amp;A&amp;RPage &amp;P</oddFooter>
  </headerFooter>
  <rowBreaks count="4" manualBreakCount="4">
    <brk id="66" max="11" man="1"/>
    <brk id="128" max="11" man="1"/>
    <brk id="214" max="11" man="1"/>
    <brk id="285" max="11" man="1"/>
  </rowBreaks>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44"/>
  <sheetViews>
    <sheetView showGridLines="0" zoomScaleNormal="100" workbookViewId="0">
      <selection activeCell="A16" sqref="A16:XFD16"/>
    </sheetView>
  </sheetViews>
  <sheetFormatPr defaultColWidth="8.85546875" defaultRowHeight="11.25"/>
  <cols>
    <col min="1" max="1" width="29.42578125" style="2" customWidth="1"/>
    <col min="2" max="2" width="7" style="2" customWidth="1"/>
    <col min="3" max="3" width="5.28515625" style="2" customWidth="1"/>
    <col min="4" max="4" width="6.85546875" style="2" customWidth="1"/>
    <col min="5" max="5" width="31.42578125" style="2" customWidth="1"/>
    <col min="6" max="6" width="20" style="2" customWidth="1"/>
    <col min="7" max="7" width="18.140625" style="2" customWidth="1"/>
    <col min="8" max="8" width="17.140625" style="2" customWidth="1"/>
    <col min="9" max="9" width="16.42578125" style="2" customWidth="1"/>
    <col min="10" max="16384" width="8.85546875" style="2"/>
  </cols>
  <sheetData>
    <row r="1" spans="1:7" s="88" customFormat="1">
      <c r="A1" s="7" t="s">
        <v>507</v>
      </c>
      <c r="B1" s="1425" t="str">
        <f>'Component Unit Template'!G1</f>
        <v/>
      </c>
      <c r="C1" s="1426"/>
      <c r="D1" s="1426"/>
      <c r="E1" s="1426"/>
      <c r="F1" s="1427"/>
      <c r="G1" s="151"/>
    </row>
    <row r="2" spans="1:7" s="88" customFormat="1" ht="22.5" customHeight="1">
      <c r="A2" s="7" t="s">
        <v>528</v>
      </c>
      <c r="B2" s="1434" t="str">
        <f>IF('Component Unit Template'!G2="","",'Component Unit Template'!G2)</f>
        <v/>
      </c>
      <c r="C2" s="1435"/>
      <c r="D2" s="1435"/>
      <c r="E2" s="1435"/>
      <c r="F2" s="1435"/>
      <c r="G2" s="151"/>
    </row>
    <row r="3" spans="1:7" s="88" customFormat="1">
      <c r="A3" s="7" t="s">
        <v>586</v>
      </c>
      <c r="B3" s="1436" t="str">
        <f>IF('Component Unit Template'!G3="","",'Component Unit Template'!G3)</f>
        <v/>
      </c>
      <c r="C3" s="1437"/>
      <c r="D3" s="1437"/>
      <c r="E3" s="1437"/>
      <c r="F3" s="1437"/>
      <c r="G3" s="151"/>
    </row>
    <row r="4" spans="1:7" s="88" customFormat="1">
      <c r="A4" s="7" t="s">
        <v>315</v>
      </c>
      <c r="B4" s="1438" t="str">
        <f>IF('Component Unit Template'!G4="","",'Component Unit Template'!G4)</f>
        <v/>
      </c>
      <c r="C4" s="1439"/>
      <c r="D4" s="1439"/>
      <c r="E4" s="1439"/>
      <c r="F4" s="1439"/>
      <c r="G4" s="151"/>
    </row>
    <row r="5" spans="1:7" s="88" customFormat="1">
      <c r="A5" s="7" t="s">
        <v>677</v>
      </c>
      <c r="B5" s="1440" t="str">
        <f>IF('Component Unit Template'!G5="","",'Component Unit Template'!G5)</f>
        <v/>
      </c>
      <c r="C5" s="1441"/>
      <c r="D5" s="1441"/>
      <c r="E5" s="1441"/>
      <c r="F5" s="1441"/>
      <c r="G5" s="151"/>
    </row>
    <row r="6" spans="1:7" s="88" customFormat="1">
      <c r="A6" s="7" t="s">
        <v>36</v>
      </c>
      <c r="B6" s="1428" t="str">
        <f>IF('Component Unit Template'!G6="","",'Component Unit Template'!G6)</f>
        <v/>
      </c>
      <c r="C6" s="1429"/>
      <c r="D6" s="1429"/>
      <c r="E6" s="1429"/>
      <c r="F6" s="1429"/>
      <c r="G6" s="151"/>
    </row>
    <row r="7" spans="1:7" s="88" customFormat="1">
      <c r="A7" s="2"/>
      <c r="B7" s="152"/>
      <c r="C7" s="151"/>
      <c r="D7" s="151"/>
      <c r="E7" s="151"/>
      <c r="F7" s="151"/>
      <c r="G7" s="151"/>
    </row>
    <row r="8" spans="1:7" s="88" customFormat="1">
      <c r="A8" s="7" t="s">
        <v>467</v>
      </c>
      <c r="B8" s="152"/>
      <c r="C8" s="151"/>
      <c r="D8" s="151"/>
      <c r="E8" s="151"/>
      <c r="F8" s="151"/>
      <c r="G8" s="151"/>
    </row>
    <row r="9" spans="1:7" s="88" customFormat="1">
      <c r="A9" s="153" t="str">
        <f>'Component Unit Template'!A35</f>
        <v>For the Year Ended June 30, 2024</v>
      </c>
      <c r="B9" s="152"/>
      <c r="C9" s="151"/>
      <c r="D9" s="151"/>
      <c r="E9" s="151"/>
      <c r="F9" s="151"/>
      <c r="G9" s="151"/>
    </row>
    <row r="10" spans="1:7" s="88" customFormat="1" ht="12.75" customHeight="1">
      <c r="A10" s="1424"/>
      <c r="B10" s="1424"/>
      <c r="C10" s="1424"/>
      <c r="D10" s="1424"/>
      <c r="E10" s="1424"/>
      <c r="F10" s="275" t="s">
        <v>37</v>
      </c>
      <c r="G10" s="151"/>
    </row>
    <row r="11" spans="1:7" s="88" customFormat="1" ht="20.45" customHeight="1">
      <c r="A11" s="1331" t="s">
        <v>1347</v>
      </c>
      <c r="B11" s="1331"/>
      <c r="C11" s="1331"/>
      <c r="D11" s="1331"/>
      <c r="E11" s="1332"/>
      <c r="F11" s="420" t="s">
        <v>752</v>
      </c>
      <c r="G11" s="151"/>
    </row>
    <row r="12" spans="1:7" s="88" customFormat="1">
      <c r="A12" s="2" t="s">
        <v>473</v>
      </c>
      <c r="B12" s="152"/>
      <c r="C12" s="151"/>
      <c r="D12" s="151"/>
      <c r="F12" s="59"/>
      <c r="G12" s="151"/>
    </row>
    <row r="13" spans="1:7" s="88" customFormat="1">
      <c r="A13" s="2" t="s">
        <v>1284</v>
      </c>
      <c r="B13" s="152"/>
      <c r="C13" s="151"/>
      <c r="D13" s="151"/>
      <c r="F13" s="59"/>
      <c r="G13" s="151"/>
    </row>
    <row r="14" spans="1:7" s="88" customFormat="1">
      <c r="A14" s="2"/>
      <c r="B14" s="152"/>
      <c r="C14" s="151"/>
      <c r="D14" s="151"/>
      <c r="F14" s="59"/>
      <c r="G14" s="151"/>
    </row>
    <row r="15" spans="1:7" s="88" customFormat="1">
      <c r="A15" s="2" t="s">
        <v>934</v>
      </c>
      <c r="B15" s="152"/>
      <c r="C15" s="151"/>
      <c r="D15" s="151"/>
      <c r="E15" s="151"/>
      <c r="F15" s="151"/>
      <c r="G15" s="151"/>
    </row>
    <row r="16" spans="1:7">
      <c r="A16" s="2" t="s">
        <v>629</v>
      </c>
    </row>
    <row r="17" spans="1:9">
      <c r="A17" s="7"/>
    </row>
    <row r="19" spans="1:9">
      <c r="A19" s="2" t="s">
        <v>630</v>
      </c>
    </row>
    <row r="20" spans="1:9">
      <c r="F20" s="1448" t="s">
        <v>1831</v>
      </c>
      <c r="G20" s="1448"/>
      <c r="H20" s="1448"/>
    </row>
    <row r="21" spans="1:9" ht="19.5" customHeight="1">
      <c r="F21" s="1448"/>
      <c r="G21" s="1448"/>
      <c r="H21" s="1448"/>
    </row>
    <row r="22" spans="1:9" ht="22.5">
      <c r="A22" s="1445" t="s">
        <v>721</v>
      </c>
      <c r="B22" s="1446"/>
      <c r="C22" s="1446"/>
      <c r="D22" s="1447"/>
      <c r="E22" s="154" t="s">
        <v>1830</v>
      </c>
      <c r="F22" s="154" t="s">
        <v>1285</v>
      </c>
      <c r="G22" s="154" t="s">
        <v>1126</v>
      </c>
      <c r="H22" s="154" t="s">
        <v>75</v>
      </c>
      <c r="I22" s="154" t="s">
        <v>1830</v>
      </c>
    </row>
    <row r="23" spans="1:9" ht="12.75">
      <c r="A23" s="1442"/>
      <c r="B23" s="1443"/>
      <c r="C23" s="1443"/>
      <c r="D23" s="1444"/>
      <c r="E23" s="563"/>
      <c r="F23" s="563"/>
      <c r="G23" s="563"/>
      <c r="H23" s="563"/>
      <c r="I23" s="107">
        <f t="shared" ref="I23:I30" si="0">IF(E23=SUM(F23:H23),SUM(F23:H23),"ERROR")</f>
        <v>0</v>
      </c>
    </row>
    <row r="24" spans="1:9" ht="12.75">
      <c r="A24" s="1442"/>
      <c r="B24" s="1443"/>
      <c r="C24" s="1443"/>
      <c r="D24" s="1444"/>
      <c r="E24" s="563"/>
      <c r="F24" s="563"/>
      <c r="G24" s="563"/>
      <c r="H24" s="563"/>
      <c r="I24" s="107">
        <f t="shared" si="0"/>
        <v>0</v>
      </c>
    </row>
    <row r="25" spans="1:9" ht="12.75">
      <c r="A25" s="1442"/>
      <c r="B25" s="1443"/>
      <c r="C25" s="1443"/>
      <c r="D25" s="1444"/>
      <c r="E25" s="563"/>
      <c r="F25" s="563"/>
      <c r="G25" s="563"/>
      <c r="H25" s="563"/>
      <c r="I25" s="107">
        <f t="shared" si="0"/>
        <v>0</v>
      </c>
    </row>
    <row r="26" spans="1:9" ht="12.75">
      <c r="A26" s="1442"/>
      <c r="B26" s="1443"/>
      <c r="C26" s="1443"/>
      <c r="D26" s="1444"/>
      <c r="E26" s="563"/>
      <c r="F26" s="563"/>
      <c r="G26" s="563"/>
      <c r="H26" s="563"/>
      <c r="I26" s="107">
        <f t="shared" si="0"/>
        <v>0</v>
      </c>
    </row>
    <row r="27" spans="1:9" ht="12.75">
      <c r="A27" s="1442"/>
      <c r="B27" s="1443"/>
      <c r="C27" s="1443"/>
      <c r="D27" s="1444"/>
      <c r="E27" s="563"/>
      <c r="F27" s="563"/>
      <c r="G27" s="563"/>
      <c r="H27" s="563"/>
      <c r="I27" s="107">
        <f t="shared" si="0"/>
        <v>0</v>
      </c>
    </row>
    <row r="28" spans="1:9" ht="12.75">
      <c r="A28" s="1442"/>
      <c r="B28" s="1443"/>
      <c r="C28" s="1443"/>
      <c r="D28" s="1444"/>
      <c r="E28" s="563"/>
      <c r="F28" s="563"/>
      <c r="G28" s="563"/>
      <c r="H28" s="563"/>
      <c r="I28" s="107">
        <f t="shared" si="0"/>
        <v>0</v>
      </c>
    </row>
    <row r="29" spans="1:9" ht="12.75">
      <c r="A29" s="1442"/>
      <c r="B29" s="1443"/>
      <c r="C29" s="1443"/>
      <c r="D29" s="1444"/>
      <c r="E29" s="563"/>
      <c r="F29" s="563"/>
      <c r="G29" s="563"/>
      <c r="H29" s="563"/>
      <c r="I29" s="107">
        <f t="shared" si="0"/>
        <v>0</v>
      </c>
    </row>
    <row r="30" spans="1:9" ht="12.75">
      <c r="A30" s="1442"/>
      <c r="B30" s="1443"/>
      <c r="C30" s="1443"/>
      <c r="D30" s="1444"/>
      <c r="E30" s="563"/>
      <c r="F30" s="563"/>
      <c r="G30" s="563"/>
      <c r="H30" s="563"/>
      <c r="I30" s="107">
        <f t="shared" si="0"/>
        <v>0</v>
      </c>
    </row>
    <row r="31" spans="1:9">
      <c r="A31" s="155"/>
      <c r="B31" s="155"/>
      <c r="C31" s="155"/>
      <c r="D31" s="155"/>
      <c r="E31" s="581"/>
      <c r="G31" s="155"/>
      <c r="H31" s="155"/>
      <c r="I31" s="155"/>
    </row>
    <row r="32" spans="1:9" ht="14.25" thickBot="1">
      <c r="A32" s="155"/>
      <c r="B32" s="155"/>
      <c r="C32" s="339"/>
      <c r="E32" s="582"/>
      <c r="G32" s="339" t="s">
        <v>874</v>
      </c>
      <c r="I32" s="463">
        <f>IF(SUM($I$23:$I$30)='Component Unit Template'!K151,SUM($I$23:$I$30),"ERROR")</f>
        <v>0</v>
      </c>
    </row>
    <row r="33" spans="1:9" ht="12" thickTop="1">
      <c r="A33" s="155"/>
      <c r="B33" s="155"/>
      <c r="D33" s="142"/>
      <c r="E33" s="464"/>
      <c r="H33" s="142" t="s">
        <v>47</v>
      </c>
      <c r="I33" s="462">
        <f>(SUM(E23:E30)-'Component Unit Template'!K151)</f>
        <v>0</v>
      </c>
    </row>
    <row r="34" spans="1:9">
      <c r="A34" s="155"/>
      <c r="B34" s="155"/>
      <c r="C34" s="155"/>
      <c r="D34" s="155"/>
      <c r="E34" s="155"/>
    </row>
    <row r="35" spans="1:9">
      <c r="A35" s="155"/>
      <c r="B35" s="155"/>
      <c r="C35" s="155"/>
      <c r="D35" s="155"/>
      <c r="E35" s="155"/>
    </row>
    <row r="36" spans="1:9">
      <c r="A36" s="1430" t="s">
        <v>500</v>
      </c>
      <c r="B36" s="1430"/>
      <c r="C36" s="1430"/>
      <c r="D36" s="1430"/>
      <c r="E36" s="1430"/>
    </row>
    <row r="37" spans="1:9" ht="57.75" customHeight="1">
      <c r="A37" s="1431" t="str">
        <f>IF(OR('Component Unit Template'!K151&gt;0,'Tab 4A - Short-term Debt'!E32&gt;0),"Answer Required","N/A")</f>
        <v>N/A</v>
      </c>
      <c r="B37" s="1432"/>
      <c r="C37" s="1432"/>
      <c r="D37" s="1432"/>
      <c r="E37" s="1433"/>
    </row>
    <row r="43" spans="1:9" hidden="1">
      <c r="A43" s="2" t="s">
        <v>527</v>
      </c>
    </row>
    <row r="44" spans="1:9" hidden="1">
      <c r="A44" s="2" t="s">
        <v>652</v>
      </c>
    </row>
  </sheetData>
  <sheetProtection algorithmName="SHA-512" hashValue="zecuyoTXhJHzA9WpPheARfbTETAxx8eK1BrYMnShFloojIPwG1orrArfR5XktHBJ/jNfeNAbKDperr+181UQMQ==" saltValue="lDoevExFLwLBCXhtYIYcKw==" spinCount="100000" sheet="1" objects="1" scenarios="1"/>
  <customSheetViews>
    <customSheetView guid="{FBB78E72-3FBC-498A-91AC-D094BCE26D3C}" showGridLines="0" fitToPage="1" hiddenRows="1">
      <selection activeCell="K32" sqref="K32"/>
      <pageMargins left="0.5" right="0.31" top="1.04" bottom="1" header="0.5" footer="0.5"/>
      <pageSetup scale="88"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fitToPage="1" hiddenRows="1">
      <selection activeCell="K32" sqref="K32"/>
      <pageMargins left="0.5" right="0.31" top="1.04" bottom="1" header="0.5" footer="0.5"/>
      <pageSetup scale="88"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fitToPage="1" hiddenRows="1">
      <selection activeCell="K32" sqref="K32"/>
      <pageMargins left="0.5" right="0.31" top="1.04" bottom="1" header="0.5" footer="0.5"/>
      <pageSetup scale="88"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GridLines="0" fitToPage="1" hiddenRows="1">
      <pageMargins left="0.5" right="0.31" top="1.04" bottom="1" header="0.5" footer="0.5"/>
      <pageSetup scale="83"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fitToPage="1" hiddenRows="1" topLeftCell="A4">
      <selection activeCell="I23" sqref="I23"/>
      <pageMargins left="0.5" right="0.31" top="1.04" bottom="1" header="0.5" footer="0.5"/>
      <pageSetup scale="69"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20">
    <mergeCell ref="A37:E37"/>
    <mergeCell ref="B2:F2"/>
    <mergeCell ref="B3:F3"/>
    <mergeCell ref="B4:F4"/>
    <mergeCell ref="B5:F5"/>
    <mergeCell ref="A23:D23"/>
    <mergeCell ref="A22:D22"/>
    <mergeCell ref="A24:D24"/>
    <mergeCell ref="A25:D25"/>
    <mergeCell ref="A26:D26"/>
    <mergeCell ref="A27:D27"/>
    <mergeCell ref="A28:D28"/>
    <mergeCell ref="A29:D29"/>
    <mergeCell ref="A30:D30"/>
    <mergeCell ref="F20:H21"/>
    <mergeCell ref="A10:E10"/>
    <mergeCell ref="A11:E11"/>
    <mergeCell ref="B1:F1"/>
    <mergeCell ref="B6:F6"/>
    <mergeCell ref="A36:E36"/>
  </mergeCells>
  <phoneticPr fontId="27" type="noConversion"/>
  <conditionalFormatting sqref="A37:E37">
    <cfRule type="cellIs" dxfId="137" priority="2" operator="equal">
      <formula>"Answer Required"</formula>
    </cfRule>
  </conditionalFormatting>
  <conditionalFormatting sqref="F11">
    <cfRule type="cellIs" dxfId="136" priority="3" operator="equal">
      <formula>"Answer Required"</formula>
    </cfRule>
  </conditionalFormatting>
  <conditionalFormatting sqref="I23:I30 I32">
    <cfRule type="cellIs" dxfId="135" priority="1" operator="equal">
      <formula>"ERROR"</formula>
    </cfRule>
  </conditionalFormatting>
  <dataValidations count="4">
    <dataValidation type="list" allowBlank="1" showInputMessage="1" showErrorMessage="1" error="Use the drop-down list to enter Yes or No." sqref="F11" xr:uid="{00000000-0002-0000-0A00-000000000000}">
      <formula1>$A$43:$A$44</formula1>
    </dataValidation>
    <dataValidation type="whole" allowBlank="1" showInputMessage="1" showErrorMessage="1" error="Please enter a whole number" sqref="E23:E30" xr:uid="{00000000-0002-0000-0A00-000001000000}">
      <formula1>-9999999999999</formula1>
      <formula2>9999999999999</formula2>
    </dataValidation>
    <dataValidation type="whole" allowBlank="1" showInputMessage="1" showErrorMessage="1" error="Please enter a whole number" sqref="F23:H30" xr:uid="{00000000-0002-0000-0A00-000002000000}">
      <formula1>-999999999999999</formula1>
      <formula2>999999999999999</formula2>
    </dataValidation>
    <dataValidation type="whole" allowBlank="1" showInputMessage="1" showErrorMessage="1" sqref="I23:I32" xr:uid="{00000000-0002-0000-0A00-000003000000}">
      <formula1>-999999999999999</formula1>
      <formula2>999999999999999</formula2>
    </dataValidation>
  </dataValidations>
  <pageMargins left="0.75" right="0.31" top="1.04" bottom="1" header="0.5" footer="0.5"/>
  <pageSetup scale="63" orientation="portrait" cellComments="asDisplayed" r:id="rId6"/>
  <headerFooter alignWithMargins="0">
    <oddHeader>&amp;C&amp;"Times New Roman,Bold"Attachment CU4
Financial Statement Template (FST)
&amp;A</oddHeader>
    <oddFooter>&amp;L&amp;"Times New Roman,Regular"&amp;F \ &amp;A&amp;RPage &amp;P</oddFooter>
  </headerFooter>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2:H30"/>
  <sheetViews>
    <sheetView showGridLines="0" zoomScaleNormal="100" zoomScaleSheetLayoutView="100" workbookViewId="0">
      <selection activeCell="A13" sqref="A13:H13"/>
    </sheetView>
  </sheetViews>
  <sheetFormatPr defaultColWidth="8.85546875" defaultRowHeight="11.25"/>
  <cols>
    <col min="1" max="1" width="31.7109375" style="2" customWidth="1"/>
    <col min="2" max="2" width="26.140625" style="2" customWidth="1"/>
    <col min="3" max="3" width="6.7109375" style="2" customWidth="1"/>
    <col min="4" max="4" width="14.5703125" style="2" customWidth="1"/>
    <col min="5" max="5" width="13.140625" style="2" customWidth="1"/>
    <col min="6" max="6" width="3" style="2" hidden="1" customWidth="1"/>
    <col min="7" max="16384" width="8.85546875" style="2"/>
  </cols>
  <sheetData>
    <row r="2" spans="1:8">
      <c r="A2" s="7" t="s">
        <v>507</v>
      </c>
      <c r="B2" s="1452" t="str">
        <f>'Component Unit Template'!G1</f>
        <v/>
      </c>
      <c r="C2" s="1453"/>
      <c r="D2" s="1453"/>
      <c r="E2" s="1453"/>
    </row>
    <row r="3" spans="1:8" ht="24.75" customHeight="1">
      <c r="A3" s="7" t="s">
        <v>528</v>
      </c>
      <c r="B3" s="1452" t="str">
        <f>IF('Component Unit Template'!G2="","",'Component Unit Template'!G2)</f>
        <v/>
      </c>
      <c r="C3" s="1453"/>
      <c r="D3" s="1453"/>
      <c r="E3" s="1453"/>
    </row>
    <row r="4" spans="1:8" ht="10.9" customHeight="1">
      <c r="A4" s="7" t="s">
        <v>586</v>
      </c>
      <c r="B4" s="1436" t="str">
        <f>IF('Component Unit Template'!G3="","",'Component Unit Template'!G3)</f>
        <v/>
      </c>
      <c r="C4" s="1437"/>
      <c r="D4" s="1437"/>
      <c r="E4" s="1437"/>
    </row>
    <row r="5" spans="1:8" ht="10.9" customHeight="1">
      <c r="A5" s="7" t="s">
        <v>315</v>
      </c>
      <c r="B5" s="1438" t="str">
        <f>IF('Component Unit Template'!G4="","",'Component Unit Template'!G4)</f>
        <v/>
      </c>
      <c r="C5" s="1439"/>
      <c r="D5" s="1439"/>
      <c r="E5" s="1439"/>
    </row>
    <row r="6" spans="1:8" ht="10.9" customHeight="1">
      <c r="A6" s="7" t="s">
        <v>677</v>
      </c>
      <c r="B6" s="1440" t="str">
        <f>IF('Component Unit Template'!G5="","",'Component Unit Template'!G5)</f>
        <v/>
      </c>
      <c r="C6" s="1441"/>
      <c r="D6" s="1441"/>
      <c r="E6" s="1441"/>
    </row>
    <row r="7" spans="1:8" ht="10.9" customHeight="1">
      <c r="A7" s="7" t="s">
        <v>36</v>
      </c>
      <c r="B7" s="1449" t="str">
        <f>IF('Component Unit Template'!G6="","",'Component Unit Template'!G6)</f>
        <v/>
      </c>
      <c r="C7" s="1450"/>
      <c r="D7" s="1450"/>
      <c r="E7" s="1450"/>
    </row>
    <row r="8" spans="1:8" ht="10.9" customHeight="1">
      <c r="A8" s="156"/>
      <c r="B8" s="152"/>
      <c r="C8" s="151"/>
      <c r="D8" s="151"/>
      <c r="E8" s="151"/>
    </row>
    <row r="9" spans="1:8" ht="10.9" customHeight="1">
      <c r="A9" s="157" t="s">
        <v>1415</v>
      </c>
      <c r="B9" s="152"/>
      <c r="C9" s="151"/>
      <c r="D9" s="151"/>
      <c r="E9" s="151"/>
    </row>
    <row r="10" spans="1:8" ht="10.9" customHeight="1">
      <c r="A10" s="153" t="str">
        <f>'Component Unit Template'!A35</f>
        <v>For the Year Ended June 30, 2024</v>
      </c>
      <c r="B10" s="152"/>
      <c r="C10" s="151"/>
      <c r="D10" s="151"/>
      <c r="E10" s="151"/>
    </row>
    <row r="11" spans="1:8" ht="10.9" customHeight="1">
      <c r="A11" s="158"/>
      <c r="B11" s="152"/>
      <c r="C11" s="151"/>
      <c r="D11" s="275"/>
      <c r="E11" s="151"/>
    </row>
    <row r="12" spans="1:8" ht="129.75" customHeight="1">
      <c r="A12" s="822" t="s">
        <v>752</v>
      </c>
      <c r="B12" s="830">
        <v>1</v>
      </c>
      <c r="C12" s="1451" t="s">
        <v>1832</v>
      </c>
      <c r="D12" s="1451"/>
      <c r="E12" s="1451"/>
      <c r="F12" s="1451"/>
      <c r="G12" s="1451"/>
      <c r="H12" s="1451"/>
    </row>
    <row r="13" spans="1:8" ht="53.25" customHeight="1">
      <c r="A13" s="1454" t="str">
        <f>IF(A12="Yes","Answer Required","N/A")</f>
        <v>N/A</v>
      </c>
      <c r="B13" s="1455"/>
      <c r="C13" s="1455"/>
      <c r="D13" s="1455"/>
      <c r="E13" s="1455"/>
      <c r="F13" s="1455"/>
      <c r="G13" s="1455"/>
      <c r="H13" s="1456"/>
    </row>
    <row r="14" spans="1:8">
      <c r="A14" s="153"/>
      <c r="E14" s="126"/>
    </row>
    <row r="15" spans="1:8" ht="224.25" customHeight="1">
      <c r="A15" s="822" t="s">
        <v>752</v>
      </c>
      <c r="B15" s="830">
        <v>2</v>
      </c>
      <c r="C15" s="1451" t="s">
        <v>1833</v>
      </c>
      <c r="D15" s="1451"/>
      <c r="E15" s="1451"/>
      <c r="F15" s="1451"/>
      <c r="G15" s="1451"/>
      <c r="H15" s="1451"/>
    </row>
    <row r="16" spans="1:8" ht="35.25" customHeight="1">
      <c r="A16" s="1454" t="str">
        <f>IF(A15="Yes","Answer Required","N/A")</f>
        <v>N/A</v>
      </c>
      <c r="B16" s="1455"/>
      <c r="C16" s="1455"/>
      <c r="D16" s="1455"/>
      <c r="E16" s="1455"/>
      <c r="F16" s="1455"/>
      <c r="G16" s="1455"/>
      <c r="H16" s="1456"/>
    </row>
    <row r="17" spans="1:8">
      <c r="B17" s="253"/>
    </row>
    <row r="18" spans="1:8" ht="153.75" customHeight="1">
      <c r="A18" s="822" t="s">
        <v>752</v>
      </c>
      <c r="B18" s="830">
        <v>3</v>
      </c>
      <c r="C18" s="1451" t="s">
        <v>1834</v>
      </c>
      <c r="D18" s="1451"/>
      <c r="E18" s="1451"/>
      <c r="F18" s="1451"/>
      <c r="G18" s="1451"/>
      <c r="H18" s="1451"/>
    </row>
    <row r="19" spans="1:8" ht="66" customHeight="1">
      <c r="A19" s="1454" t="str">
        <f>IF(A18="Yes","Answer Required","N/A")</f>
        <v>N/A</v>
      </c>
      <c r="B19" s="1455"/>
      <c r="C19" s="1455"/>
      <c r="D19" s="1455"/>
      <c r="E19" s="1455"/>
      <c r="F19" s="1455"/>
      <c r="G19" s="1455"/>
      <c r="H19" s="1456"/>
    </row>
    <row r="20" spans="1:8">
      <c r="B20" s="253"/>
    </row>
    <row r="21" spans="1:8" ht="165.75" customHeight="1">
      <c r="A21" s="822" t="s">
        <v>752</v>
      </c>
      <c r="B21" s="830">
        <v>4</v>
      </c>
      <c r="C21" s="1451" t="s">
        <v>1835</v>
      </c>
      <c r="D21" s="1451"/>
      <c r="E21" s="1451"/>
      <c r="F21" s="1451"/>
      <c r="G21" s="1451"/>
      <c r="H21" s="1451"/>
    </row>
    <row r="22" spans="1:8" ht="60.75" customHeight="1">
      <c r="A22" s="1454" t="str">
        <f>IF(A21="Yes","Answer Required","N/A")</f>
        <v>N/A</v>
      </c>
      <c r="B22" s="1455"/>
      <c r="C22" s="1455"/>
      <c r="D22" s="1455"/>
      <c r="E22" s="1455"/>
      <c r="F22" s="1455"/>
      <c r="G22" s="1455"/>
      <c r="H22" s="1456"/>
    </row>
    <row r="23" spans="1:8" hidden="1">
      <c r="A23" s="2" t="s">
        <v>527</v>
      </c>
    </row>
    <row r="24" spans="1:8" hidden="1">
      <c r="A24" s="2" t="s">
        <v>652</v>
      </c>
    </row>
    <row r="25" spans="1:8" ht="33" hidden="1" customHeight="1">
      <c r="A25" s="2" t="s">
        <v>231</v>
      </c>
    </row>
    <row r="26" spans="1:8" ht="153.75" customHeight="1">
      <c r="A26" s="822" t="s">
        <v>752</v>
      </c>
      <c r="B26" s="830">
        <v>5</v>
      </c>
      <c r="C26" s="1451" t="s">
        <v>1836</v>
      </c>
      <c r="D26" s="1451"/>
      <c r="E26" s="1451"/>
      <c r="F26" s="1451"/>
      <c r="G26" s="1451"/>
      <c r="H26" s="1451"/>
    </row>
    <row r="27" spans="1:8" ht="66" customHeight="1">
      <c r="A27" s="1454" t="str">
        <f>IF(A26="Yes","Answer Required","N/A")</f>
        <v>N/A</v>
      </c>
      <c r="B27" s="1455"/>
      <c r="C27" s="1455"/>
      <c r="D27" s="1455"/>
      <c r="E27" s="1455"/>
      <c r="F27" s="1455"/>
      <c r="G27" s="1455"/>
      <c r="H27" s="1456"/>
    </row>
    <row r="28" spans="1:8">
      <c r="B28" s="253"/>
    </row>
    <row r="29" spans="1:8" ht="203.25" customHeight="1">
      <c r="A29" s="822" t="s">
        <v>752</v>
      </c>
      <c r="B29" s="830">
        <v>6</v>
      </c>
      <c r="C29" s="1451" t="s">
        <v>1837</v>
      </c>
      <c r="D29" s="1451"/>
      <c r="E29" s="1451"/>
      <c r="F29" s="1451"/>
      <c r="G29" s="1451"/>
      <c r="H29" s="1451"/>
    </row>
    <row r="30" spans="1:8" ht="60.75" customHeight="1">
      <c r="A30" s="1454" t="str">
        <f>IF(A29="Yes","Answer Required","N/A")</f>
        <v>N/A</v>
      </c>
      <c r="B30" s="1455"/>
      <c r="C30" s="1455"/>
      <c r="D30" s="1455"/>
      <c r="E30" s="1455"/>
      <c r="F30" s="1455"/>
      <c r="G30" s="1455"/>
      <c r="H30" s="1456"/>
    </row>
  </sheetData>
  <sheetProtection algorithmName="SHA-512" hashValue="7HVB2nsHNBeGeV2sqwinSy+Idv5EHdUl21EfC6tSi1W6kZq2Rz1Zmt5eVXpLEuRjrjr8kEWPR/p+AcmwnlHlzA==" saltValue="z/tvK50110xLepRkuGp/pg==" spinCount="100000" sheet="1" objects="1" scenarios="1"/>
  <customSheetViews>
    <customSheetView guid="{FBB78E72-3FBC-498A-91AC-D094BCE26D3C}" showGridLines="0" hiddenRows="1" hiddenColumns="1" topLeftCell="A30">
      <selection activeCell="G2" sqref="G2:J2"/>
      <pageMargins left="0.5" right="0.5" top="0.93" bottom="0.83" header="0.5" footer="0.5"/>
      <pageSetup scale="75"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hiddenColumns="1" topLeftCell="A30">
      <selection activeCell="G2" sqref="G2:J2"/>
      <pageMargins left="0.5" right="0.5" top="0.93" bottom="0.83" header="0.5" footer="0.5"/>
      <pageSetup scale="75"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hiddenColumns="1" topLeftCell="A30">
      <selection activeCell="G2" sqref="G2:J2"/>
      <pageMargins left="0.5" right="0.5" top="0.93" bottom="0.83" header="0.5" footer="0.5"/>
      <pageSetup scale="75"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hiddenColumns="1" view="pageBreakPreview">
      <selection activeCell="B53" sqref="B53"/>
      <pageMargins left="0.5" right="0.5" top="0.93" bottom="0.83" header="0.5" footer="0.5"/>
      <pageSetup scale="7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hiddenRows="1" hiddenColumns="1" topLeftCell="A9">
      <selection activeCell="A50" sqref="A50"/>
      <pageMargins left="0.5" right="0.5" top="0.93" bottom="0.83" header="0.5" footer="0.5"/>
      <pageSetup scale="7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18">
    <mergeCell ref="A22:H22"/>
    <mergeCell ref="C26:H26"/>
    <mergeCell ref="A27:H27"/>
    <mergeCell ref="C29:H29"/>
    <mergeCell ref="A30:H30"/>
    <mergeCell ref="B7:E7"/>
    <mergeCell ref="C21:H21"/>
    <mergeCell ref="C12:H12"/>
    <mergeCell ref="B2:E2"/>
    <mergeCell ref="B3:E3"/>
    <mergeCell ref="B4:E4"/>
    <mergeCell ref="B5:E5"/>
    <mergeCell ref="B6:E6"/>
    <mergeCell ref="A13:H13"/>
    <mergeCell ref="C15:H15"/>
    <mergeCell ref="A16:H16"/>
    <mergeCell ref="C18:H18"/>
    <mergeCell ref="A19:H19"/>
  </mergeCells>
  <phoneticPr fontId="27" type="noConversion"/>
  <conditionalFormatting sqref="A12">
    <cfRule type="cellIs" dxfId="134" priority="16" operator="equal">
      <formula>"Error"</formula>
    </cfRule>
  </conditionalFormatting>
  <conditionalFormatting sqref="A12:A13">
    <cfRule type="cellIs" dxfId="133" priority="14" operator="equal">
      <formula>"Answer Required"</formula>
    </cfRule>
  </conditionalFormatting>
  <conditionalFormatting sqref="A15">
    <cfRule type="cellIs" dxfId="132" priority="13" operator="equal">
      <formula>"Error"</formula>
    </cfRule>
  </conditionalFormatting>
  <conditionalFormatting sqref="A15:A16">
    <cfRule type="cellIs" dxfId="131" priority="11" operator="equal">
      <formula>"Answer Required"</formula>
    </cfRule>
  </conditionalFormatting>
  <conditionalFormatting sqref="A18">
    <cfRule type="cellIs" dxfId="130" priority="10" operator="equal">
      <formula>"Error"</formula>
    </cfRule>
  </conditionalFormatting>
  <conditionalFormatting sqref="A18:A19">
    <cfRule type="cellIs" dxfId="129" priority="8" operator="equal">
      <formula>"Answer Required"</formula>
    </cfRule>
  </conditionalFormatting>
  <conditionalFormatting sqref="A21">
    <cfRule type="cellIs" dxfId="128" priority="18" operator="equal">
      <formula>"Error"</formula>
    </cfRule>
  </conditionalFormatting>
  <conditionalFormatting sqref="A21:A22">
    <cfRule type="cellIs" dxfId="127" priority="17" operator="equal">
      <formula>"Answer Required"</formula>
    </cfRule>
  </conditionalFormatting>
  <conditionalFormatting sqref="A26">
    <cfRule type="cellIs" dxfId="126" priority="3" operator="equal">
      <formula>"Error"</formula>
    </cfRule>
  </conditionalFormatting>
  <conditionalFormatting sqref="A26:A27">
    <cfRule type="cellIs" dxfId="125" priority="1" operator="equal">
      <formula>"Answer Required"</formula>
    </cfRule>
  </conditionalFormatting>
  <conditionalFormatting sqref="A29">
    <cfRule type="cellIs" dxfId="124" priority="5" operator="equal">
      <formula>"Error"</formula>
    </cfRule>
  </conditionalFormatting>
  <conditionalFormatting sqref="A29:A30">
    <cfRule type="cellIs" dxfId="123" priority="4" operator="equal">
      <formula>"Answer Required"</formula>
    </cfRule>
  </conditionalFormatting>
  <dataValidations count="2">
    <dataValidation type="list" allowBlank="1" showInputMessage="1" showErrorMessage="1" error="Please use the drop-down to select Yes or No." sqref="A12 A18 A21 A15 A26 A29" xr:uid="{00000000-0002-0000-0B00-000000000000}">
      <formula1>$A$23:$A$24</formula1>
    </dataValidation>
    <dataValidation type="whole" allowBlank="1" showInputMessage="1" showErrorMessage="1" error="Enter a whole number." sqref="B17 B20 B28" xr:uid="{00000000-0002-0000-0B00-000001000000}">
      <formula1>-9999999999999</formula1>
      <formula2>9999999999999</formula2>
    </dataValidation>
  </dataValidations>
  <pageMargins left="0.75" right="0.5" top="0.93" bottom="0.83" header="0.5" footer="0.5"/>
  <pageSetup scale="62" orientation="portrait" cellComments="asDisplayed" r:id="rId6"/>
  <headerFooter alignWithMargins="0">
    <oddHeader>&amp;C&amp;"Times New Roman,Bold"Attachment CU4
Financial Statement Template (FST)
&amp;A</oddHeader>
    <oddFooter>&amp;L&amp;"Times New Roman,Regular"&amp;F \ &amp;A&amp;RPage &amp;P</oddFooter>
  </headerFooter>
  <legacyDrawing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N58"/>
  <sheetViews>
    <sheetView showGridLines="0" zoomScaleNormal="100" zoomScaleSheetLayoutView="100" workbookViewId="0">
      <selection activeCell="D3" sqref="D3:G3"/>
    </sheetView>
  </sheetViews>
  <sheetFormatPr defaultColWidth="8.85546875" defaultRowHeight="11.25"/>
  <cols>
    <col min="1" max="1" width="50" style="2" customWidth="1"/>
    <col min="2" max="2" width="2.7109375" style="2" hidden="1" customWidth="1"/>
    <col min="3" max="3" width="2.7109375" style="2" customWidth="1"/>
    <col min="4" max="4" width="17.28515625" style="2" customWidth="1"/>
    <col min="5" max="5" width="40.7109375" style="2" customWidth="1"/>
    <col min="6" max="7" width="1.5703125" style="2" customWidth="1"/>
    <col min="8" max="8" width="3.42578125" style="2" customWidth="1"/>
    <col min="9" max="16384" width="8.85546875" style="2"/>
  </cols>
  <sheetData>
    <row r="1" spans="1:14" ht="15.75" customHeight="1">
      <c r="A1" s="7" t="s">
        <v>507</v>
      </c>
      <c r="B1" s="7"/>
      <c r="C1" s="7"/>
      <c r="D1" s="1452" t="str">
        <f>'Component Unit Template'!G1</f>
        <v/>
      </c>
      <c r="E1" s="1452"/>
      <c r="F1" s="1452"/>
      <c r="G1" s="1425"/>
      <c r="H1" s="587"/>
      <c r="I1" s="88"/>
      <c r="J1" s="88"/>
      <c r="K1" s="88"/>
      <c r="L1" s="88"/>
      <c r="M1" s="88"/>
      <c r="N1" s="88"/>
    </row>
    <row r="2" spans="1:14" ht="21.75" customHeight="1">
      <c r="A2" s="7" t="s">
        <v>528</v>
      </c>
      <c r="B2" s="7"/>
      <c r="C2" s="7"/>
      <c r="D2" s="1452" t="str">
        <f>IF('Component Unit Template'!G2="","",'Component Unit Template'!G2)</f>
        <v/>
      </c>
      <c r="E2" s="1452"/>
      <c r="F2" s="1452"/>
      <c r="G2" s="1452"/>
      <c r="H2" s="588"/>
      <c r="I2" s="88"/>
      <c r="J2" s="88"/>
      <c r="K2" s="88"/>
      <c r="L2" s="88"/>
      <c r="M2" s="88"/>
      <c r="N2" s="88"/>
    </row>
    <row r="3" spans="1:14">
      <c r="A3" s="7" t="s">
        <v>586</v>
      </c>
      <c r="B3" s="7"/>
      <c r="C3" s="7"/>
      <c r="D3" s="1436" t="str">
        <f>IF('Component Unit Template'!G3="","",'Component Unit Template'!G3)</f>
        <v/>
      </c>
      <c r="E3" s="1436"/>
      <c r="F3" s="1436"/>
      <c r="G3" s="1436"/>
      <c r="H3" s="794"/>
      <c r="I3" s="88"/>
      <c r="J3" s="88"/>
      <c r="K3" s="88"/>
      <c r="L3" s="88"/>
      <c r="M3" s="88"/>
      <c r="N3" s="88"/>
    </row>
    <row r="4" spans="1:14">
      <c r="A4" s="7" t="s">
        <v>315</v>
      </c>
      <c r="B4" s="7"/>
      <c r="C4" s="7"/>
      <c r="D4" s="1438" t="str">
        <f>IF('Component Unit Template'!G4="","",'Component Unit Template'!G4)</f>
        <v/>
      </c>
      <c r="E4" s="1438"/>
      <c r="F4" s="1438"/>
      <c r="G4" s="1438"/>
      <c r="H4" s="795"/>
      <c r="I4" s="88"/>
      <c r="J4" s="88"/>
      <c r="K4" s="88"/>
      <c r="L4" s="88"/>
      <c r="M4" s="88"/>
      <c r="N4" s="88"/>
    </row>
    <row r="5" spans="1:14">
      <c r="A5" s="7" t="s">
        <v>677</v>
      </c>
      <c r="B5" s="7"/>
      <c r="C5" s="7"/>
      <c r="D5" s="1440" t="str">
        <f>IF('Component Unit Template'!G5="","",'Component Unit Template'!G5)</f>
        <v/>
      </c>
      <c r="E5" s="1440"/>
      <c r="F5" s="1440"/>
      <c r="G5" s="1440"/>
      <c r="H5" s="796"/>
      <c r="I5" s="88"/>
      <c r="J5" s="88"/>
      <c r="K5" s="88"/>
      <c r="L5" s="88"/>
      <c r="M5" s="88"/>
      <c r="N5" s="88"/>
    </row>
    <row r="6" spans="1:14" ht="12.75" customHeight="1">
      <c r="A6" s="7" t="s">
        <v>36</v>
      </c>
      <c r="B6" s="7"/>
      <c r="C6" s="7"/>
      <c r="D6" s="1449" t="str">
        <f>IF('Component Unit Template'!G6="","",'Component Unit Template'!G6)</f>
        <v/>
      </c>
      <c r="E6" s="1449"/>
      <c r="F6" s="1449"/>
      <c r="G6" s="1449"/>
      <c r="H6" s="797"/>
      <c r="I6" s="88"/>
      <c r="J6" s="88"/>
      <c r="K6" s="88"/>
      <c r="L6" s="88"/>
      <c r="M6" s="88"/>
      <c r="N6" s="88"/>
    </row>
    <row r="7" spans="1:14">
      <c r="A7" s="156"/>
      <c r="B7" s="156"/>
      <c r="C7" s="156"/>
      <c r="D7" s="585"/>
      <c r="E7" s="586"/>
      <c r="F7" s="586"/>
      <c r="G7" s="586"/>
      <c r="H7" s="151"/>
      <c r="I7" s="88"/>
      <c r="J7" s="88"/>
      <c r="K7" s="88"/>
      <c r="L7" s="88"/>
      <c r="M7" s="88"/>
      <c r="N7" s="88"/>
    </row>
    <row r="8" spans="1:14" hidden="1">
      <c r="D8" s="152"/>
      <c r="E8" s="151"/>
      <c r="F8" s="151"/>
      <c r="G8" s="151"/>
      <c r="H8" s="151"/>
      <c r="I8" s="88"/>
      <c r="J8" s="88"/>
      <c r="K8" s="88"/>
      <c r="L8" s="88"/>
      <c r="M8" s="88"/>
      <c r="N8" s="88"/>
    </row>
    <row r="9" spans="1:14">
      <c r="D9" s="152"/>
      <c r="E9" s="151"/>
      <c r="F9" s="151"/>
      <c r="G9" s="151"/>
      <c r="H9" s="151"/>
      <c r="I9" s="88"/>
      <c r="J9" s="88"/>
      <c r="K9" s="88"/>
      <c r="L9" s="88"/>
      <c r="M9" s="88"/>
      <c r="N9" s="88"/>
    </row>
    <row r="10" spans="1:14">
      <c r="A10" s="159"/>
      <c r="B10" s="159"/>
      <c r="C10" s="159"/>
      <c r="D10" s="160"/>
      <c r="E10" s="421"/>
      <c r="F10" s="421"/>
      <c r="G10" s="151"/>
      <c r="H10" s="151"/>
      <c r="I10" s="88"/>
      <c r="J10" s="88"/>
      <c r="K10" s="88"/>
      <c r="L10" s="88"/>
      <c r="M10" s="88"/>
      <c r="N10" s="88"/>
    </row>
    <row r="11" spans="1:14">
      <c r="A11" s="156"/>
      <c r="B11" s="156"/>
      <c r="C11" s="156"/>
      <c r="D11" s="152"/>
      <c r="E11" s="151"/>
      <c r="F11" s="151"/>
      <c r="G11" s="151"/>
      <c r="H11" s="151"/>
      <c r="I11" s="88"/>
      <c r="J11" s="88"/>
      <c r="K11" s="88"/>
      <c r="L11" s="88"/>
      <c r="M11" s="88"/>
      <c r="N11" s="88"/>
    </row>
    <row r="12" spans="1:14">
      <c r="A12" s="157" t="s">
        <v>439</v>
      </c>
      <c r="B12" s="157"/>
      <c r="C12" s="157"/>
      <c r="G12" s="88"/>
      <c r="H12" s="88"/>
      <c r="I12" s="831"/>
      <c r="J12" s="88"/>
      <c r="K12" s="88"/>
      <c r="L12" s="88"/>
      <c r="M12" s="88"/>
      <c r="N12" s="88"/>
    </row>
    <row r="13" spans="1:14">
      <c r="A13" s="153" t="str">
        <f>'Component Unit Template'!A35</f>
        <v>For the Year Ended June 30, 2024</v>
      </c>
      <c r="B13" s="153"/>
      <c r="C13" s="153"/>
      <c r="G13" s="126"/>
      <c r="H13" s="125"/>
      <c r="I13" s="126"/>
      <c r="J13" s="126"/>
      <c r="K13" s="126"/>
      <c r="L13" s="126"/>
      <c r="M13" s="126"/>
      <c r="N13" s="126"/>
    </row>
    <row r="14" spans="1:14">
      <c r="A14" s="158"/>
      <c r="B14" s="158"/>
      <c r="C14" s="158"/>
      <c r="G14" s="126"/>
      <c r="H14" s="125"/>
      <c r="I14" s="126"/>
      <c r="J14" s="126"/>
      <c r="K14" s="126"/>
      <c r="L14" s="126"/>
      <c r="M14" s="126"/>
      <c r="N14" s="126"/>
    </row>
    <row r="15" spans="1:14">
      <c r="A15" s="919" t="s">
        <v>1619</v>
      </c>
      <c r="B15" s="919"/>
      <c r="C15" s="919"/>
      <c r="G15" s="126"/>
      <c r="H15" s="125"/>
      <c r="I15" s="126"/>
      <c r="J15" s="126"/>
      <c r="K15" s="126"/>
      <c r="L15" s="126"/>
      <c r="M15" s="126"/>
      <c r="N15" s="126"/>
    </row>
    <row r="16" spans="1:14">
      <c r="A16" s="158"/>
      <c r="B16" s="158"/>
      <c r="C16" s="158"/>
      <c r="G16" s="126"/>
      <c r="H16" s="125"/>
      <c r="I16" s="126"/>
      <c r="J16" s="126"/>
      <c r="K16" s="126"/>
      <c r="L16" s="126"/>
      <c r="M16" s="126"/>
      <c r="N16" s="126"/>
    </row>
    <row r="17" spans="1:14">
      <c r="A17" s="180"/>
      <c r="B17" s="180"/>
      <c r="C17" s="180"/>
      <c r="D17" s="144"/>
      <c r="E17" s="144"/>
      <c r="F17" s="144"/>
      <c r="G17" s="129"/>
      <c r="H17" s="125"/>
      <c r="I17" s="126"/>
      <c r="J17" s="126"/>
      <c r="K17" s="126"/>
      <c r="L17" s="126"/>
      <c r="M17" s="126"/>
      <c r="N17" s="126"/>
    </row>
    <row r="18" spans="1:14">
      <c r="A18" s="7"/>
      <c r="B18" s="7"/>
      <c r="C18" s="7"/>
    </row>
    <row r="19" spans="1:14">
      <c r="D19" s="143" t="s">
        <v>126</v>
      </c>
    </row>
    <row r="20" spans="1:14" ht="12.75">
      <c r="A20" s="131" t="s">
        <v>719</v>
      </c>
      <c r="B20" s="181"/>
      <c r="C20" s="181" t="s">
        <v>668</v>
      </c>
      <c r="D20" s="233" t="str">
        <f>IF(ISNA(VLOOKUP($D$2,'Prior Year Amounts'!E386:I419,5,FALSE)),"",(VLOOKUP($D$2,'Prior Year Amounts'!E386:I419,5,FALSE)))</f>
        <v/>
      </c>
    </row>
    <row r="21" spans="1:14">
      <c r="A21" s="181"/>
      <c r="B21" s="181"/>
      <c r="C21" s="181"/>
      <c r="D21" s="93"/>
    </row>
    <row r="22" spans="1:14" ht="12.75">
      <c r="A22" s="19" t="s">
        <v>632</v>
      </c>
      <c r="D22" s="93"/>
      <c r="E22" s="23" t="s">
        <v>1875</v>
      </c>
    </row>
    <row r="23" spans="1:14" ht="27" customHeight="1">
      <c r="A23" s="839" t="s">
        <v>1838</v>
      </c>
      <c r="B23" s="181"/>
      <c r="C23" s="181"/>
      <c r="D23" s="11"/>
      <c r="E23" s="244" t="s">
        <v>1872</v>
      </c>
    </row>
    <row r="24" spans="1:14" ht="12.75" customHeight="1">
      <c r="A24" s="839" t="s">
        <v>1876</v>
      </c>
      <c r="B24" s="181"/>
      <c r="C24" s="181"/>
      <c r="D24" s="11"/>
      <c r="E24" s="244" t="s">
        <v>1872</v>
      </c>
    </row>
    <row r="25" spans="1:14">
      <c r="A25" s="235"/>
      <c r="B25" s="181"/>
      <c r="C25" s="181"/>
      <c r="D25" s="11"/>
      <c r="E25" s="250"/>
    </row>
    <row r="26" spans="1:14">
      <c r="A26" s="235"/>
      <c r="B26" s="181"/>
      <c r="C26" s="181"/>
      <c r="D26" s="11"/>
      <c r="E26" s="250"/>
    </row>
    <row r="27" spans="1:14">
      <c r="A27" s="235"/>
      <c r="B27" s="181"/>
      <c r="C27" s="181"/>
      <c r="D27" s="11"/>
      <c r="E27" s="250"/>
    </row>
    <row r="28" spans="1:14">
      <c r="A28" s="250"/>
      <c r="B28" s="245"/>
      <c r="C28" s="245"/>
      <c r="D28" s="11"/>
      <c r="E28" s="250"/>
    </row>
    <row r="29" spans="1:14">
      <c r="A29" s="235"/>
      <c r="B29" s="181"/>
      <c r="C29" s="181"/>
      <c r="D29" s="11"/>
      <c r="E29" s="250"/>
    </row>
    <row r="30" spans="1:14">
      <c r="A30" s="235"/>
      <c r="B30" s="181"/>
      <c r="C30" s="181"/>
      <c r="D30" s="11"/>
      <c r="E30" s="250"/>
    </row>
    <row r="31" spans="1:14">
      <c r="A31" s="250"/>
      <c r="B31" s="245"/>
      <c r="C31" s="245"/>
      <c r="D31" s="11"/>
      <c r="E31" s="250"/>
    </row>
    <row r="32" spans="1:14">
      <c r="A32" s="250"/>
      <c r="B32" s="245"/>
      <c r="C32" s="245"/>
      <c r="D32" s="11"/>
      <c r="E32" s="250"/>
    </row>
    <row r="33" spans="1:5">
      <c r="A33" s="250"/>
      <c r="B33" s="245"/>
      <c r="C33" s="245"/>
      <c r="D33" s="11"/>
      <c r="E33" s="250"/>
    </row>
    <row r="34" spans="1:5" ht="28.15" customHeight="1" thickBot="1">
      <c r="A34" s="131" t="s">
        <v>720</v>
      </c>
      <c r="B34" s="181"/>
      <c r="C34" s="181" t="s">
        <v>668</v>
      </c>
      <c r="D34" s="140">
        <f>SUM(D20,D23:D33)</f>
        <v>0</v>
      </c>
      <c r="E34" s="182"/>
    </row>
    <row r="35" spans="1:5" ht="12" thickTop="1"/>
    <row r="36" spans="1:5">
      <c r="D36" s="143"/>
    </row>
    <row r="37" spans="1:5">
      <c r="A37" s="181"/>
      <c r="B37" s="181"/>
      <c r="C37" s="181"/>
      <c r="D37" s="93"/>
    </row>
    <row r="38" spans="1:5">
      <c r="A38" s="181"/>
      <c r="B38" s="181"/>
      <c r="C38" s="181"/>
      <c r="D38" s="93"/>
    </row>
    <row r="39" spans="1:5">
      <c r="D39" s="93"/>
    </row>
    <row r="40" spans="1:5">
      <c r="D40" s="93"/>
    </row>
    <row r="41" spans="1:5">
      <c r="D41" s="93"/>
    </row>
    <row r="42" spans="1:5" ht="12.75">
      <c r="A42" s="19" t="s">
        <v>1877</v>
      </c>
      <c r="D42" s="93"/>
    </row>
    <row r="43" spans="1:5" ht="12.75">
      <c r="A43" s="19" t="s">
        <v>1878</v>
      </c>
      <c r="D43" s="93"/>
    </row>
    <row r="44" spans="1:5">
      <c r="D44" s="93"/>
    </row>
    <row r="45" spans="1:5">
      <c r="A45" s="1457"/>
      <c r="B45" s="1458"/>
      <c r="C45" s="1458"/>
      <c r="D45" s="1458"/>
      <c r="E45" s="1459"/>
    </row>
    <row r="46" spans="1:5">
      <c r="A46" s="1460"/>
      <c r="B46" s="1461"/>
      <c r="C46" s="1461"/>
      <c r="D46" s="1461"/>
      <c r="E46" s="1462"/>
    </row>
    <row r="47" spans="1:5">
      <c r="A47" s="1460"/>
      <c r="B47" s="1461"/>
      <c r="C47" s="1461"/>
      <c r="D47" s="1461"/>
      <c r="E47" s="1462"/>
    </row>
    <row r="48" spans="1:5">
      <c r="A48" s="1460"/>
      <c r="B48" s="1461"/>
      <c r="C48" s="1461"/>
      <c r="D48" s="1461"/>
      <c r="E48" s="1462"/>
    </row>
    <row r="49" spans="1:5">
      <c r="A49" s="1460"/>
      <c r="B49" s="1461"/>
      <c r="C49" s="1461"/>
      <c r="D49" s="1461"/>
      <c r="E49" s="1462"/>
    </row>
    <row r="50" spans="1:5">
      <c r="A50" s="1460"/>
      <c r="B50" s="1461"/>
      <c r="C50" s="1461"/>
      <c r="D50" s="1461"/>
      <c r="E50" s="1462"/>
    </row>
    <row r="51" spans="1:5">
      <c r="A51" s="1460"/>
      <c r="B51" s="1461"/>
      <c r="C51" s="1461"/>
      <c r="D51" s="1461"/>
      <c r="E51" s="1462"/>
    </row>
    <row r="52" spans="1:5">
      <c r="A52" s="1460"/>
      <c r="B52" s="1461"/>
      <c r="C52" s="1461"/>
      <c r="D52" s="1461"/>
      <c r="E52" s="1462"/>
    </row>
    <row r="53" spans="1:5">
      <c r="A53" s="1460"/>
      <c r="B53" s="1461"/>
      <c r="C53" s="1461"/>
      <c r="D53" s="1461"/>
      <c r="E53" s="1462"/>
    </row>
    <row r="54" spans="1:5">
      <c r="A54" s="1460"/>
      <c r="B54" s="1461"/>
      <c r="C54" s="1461"/>
      <c r="D54" s="1461"/>
      <c r="E54" s="1462"/>
    </row>
    <row r="55" spans="1:5">
      <c r="A55" s="1463"/>
      <c r="B55" s="1464"/>
      <c r="C55" s="1464"/>
      <c r="D55" s="1464"/>
      <c r="E55" s="1465"/>
    </row>
    <row r="56" spans="1:5" hidden="1">
      <c r="A56" s="181"/>
      <c r="B56" s="181"/>
      <c r="C56" s="181"/>
      <c r="D56" s="93"/>
      <c r="E56" s="2" t="s">
        <v>1872</v>
      </c>
    </row>
    <row r="57" spans="1:5" hidden="1">
      <c r="A57" s="181"/>
      <c r="B57" s="181"/>
      <c r="C57" s="181"/>
      <c r="D57" s="93"/>
      <c r="E57" s="2" t="s">
        <v>1873</v>
      </c>
    </row>
    <row r="58" spans="1:5" hidden="1">
      <c r="A58" s="181"/>
      <c r="B58" s="181"/>
      <c r="C58" s="181"/>
      <c r="D58" s="93"/>
      <c r="E58" s="2" t="s">
        <v>1874</v>
      </c>
    </row>
  </sheetData>
  <sheetProtection algorithmName="SHA-512" hashValue="8XDfyOwBu9Bn08MnizYLgbqNm9x4eCz7O76pDFw8aJy/FY7Pa2auTMTEk41bc+sxyeUhMc5dGElJk+yTEUsA5w==" saltValue="QIMyt98mSgxpF2QdEttu5A==" spinCount="100000" sheet="1" objects="1" scenarios="1"/>
  <customSheetViews>
    <customSheetView guid="{FBB78E72-3FBC-498A-91AC-D094BCE26D3C}" showGridLines="0" hiddenRows="1" topLeftCell="A7">
      <selection activeCell="D2" sqref="D2:J2"/>
      <pageMargins left="0.75" right="0.36" top="1.25" bottom="1" header="0.5" footer="0.5"/>
      <pageSetup scale="85"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topLeftCell="A7">
      <selection activeCell="D2" sqref="D2:J2"/>
      <pageMargins left="0.75" right="0.36" top="1.25" bottom="1" header="0.5" footer="0.5"/>
      <pageSetup scale="85"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topLeftCell="A7">
      <selection activeCell="D2" sqref="D2:J2"/>
      <pageMargins left="0.75" right="0.36" top="1.25" bottom="1" header="0.5" footer="0.5"/>
      <pageSetup scale="85"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view="pageBreakPreview">
      <pageMargins left="0.75" right="0.36" top="1.25" bottom="1" header="0.5" footer="0.5"/>
      <pageSetup scale="8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hiddenRows="1" topLeftCell="A4">
      <selection activeCell="D3" sqref="D3:G3"/>
      <pageMargins left="0.75" right="0.36" top="1.25" bottom="1" header="0.5" footer="0.5"/>
      <pageSetup scale="8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7">
    <mergeCell ref="D1:G1"/>
    <mergeCell ref="D2:G2"/>
    <mergeCell ref="A45:E55"/>
    <mergeCell ref="D3:G3"/>
    <mergeCell ref="D4:G4"/>
    <mergeCell ref="D5:G5"/>
    <mergeCell ref="D6:G6"/>
  </mergeCells>
  <phoneticPr fontId="27" type="noConversion"/>
  <dataValidations count="3">
    <dataValidation allowBlank="1" showInputMessage="1" showErrorMessage="1" errorTitle="Enter a Whole Number" error="Enter a Whole Number Only" sqref="D20" xr:uid="{00000000-0002-0000-0C00-000000000000}"/>
    <dataValidation type="whole" allowBlank="1" showInputMessage="1" showErrorMessage="1" errorTitle="Enter a Whole Number" error="Enter a whole number." sqref="D23:D33" xr:uid="{00000000-0002-0000-0C00-000001000000}">
      <formula1>-9999999999999</formula1>
      <formula2>9999999999999</formula2>
    </dataValidation>
    <dataValidation type="list" allowBlank="1" showInputMessage="1" showErrorMessage="1" error="Use drop-down list to select the Type of Restatement." sqref="E25:E33" xr:uid="{16208300-5C1D-4DB1-A8FC-4EE649C7B65D}">
      <formula1>$E$56:$E$58</formula1>
    </dataValidation>
  </dataValidations>
  <pageMargins left="0.75" right="0.36" top="1.25" bottom="1" header="0.5" footer="0.5"/>
  <pageSetup scale="84" orientation="portrait" cellComments="asDisplayed" r:id="rId6"/>
  <headerFooter alignWithMargins="0">
    <oddHeader>&amp;C&amp;"Times New Roman,Bold"Attachment CU4
Financial Statement Template (FST)
&amp;A</oddHeader>
    <oddFooter>&amp;L&amp;"Times New Roman,Regular"&amp;F \ &amp;A&amp;RPage &amp;P</oddFooter>
  </headerFooter>
  <legacyDrawing r:id="rId7"/>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G39"/>
  <sheetViews>
    <sheetView showGridLines="0" zoomScaleNormal="100" zoomScaleSheetLayoutView="100" workbookViewId="0">
      <selection activeCell="B3" sqref="B3:C3"/>
    </sheetView>
  </sheetViews>
  <sheetFormatPr defaultColWidth="8.85546875" defaultRowHeight="11.25"/>
  <cols>
    <col min="1" max="1" width="30.42578125" style="2" bestFit="1" customWidth="1"/>
    <col min="2" max="2" width="19" style="2" customWidth="1"/>
    <col min="3" max="3" width="19.28515625" style="2" customWidth="1"/>
    <col min="4" max="16384" width="8.85546875" style="2"/>
  </cols>
  <sheetData>
    <row r="1" spans="1:4">
      <c r="A1" s="7" t="s">
        <v>507</v>
      </c>
      <c r="B1" s="1452" t="str">
        <f>'Component Unit Template'!G1</f>
        <v/>
      </c>
      <c r="C1" s="1453"/>
    </row>
    <row r="2" spans="1:4" ht="35.25" customHeight="1">
      <c r="A2" s="7" t="s">
        <v>528</v>
      </c>
      <c r="B2" s="1452" t="str">
        <f>IF('Component Unit Template'!G2="","",'Component Unit Template'!G2)</f>
        <v/>
      </c>
      <c r="C2" s="1453"/>
    </row>
    <row r="3" spans="1:4">
      <c r="A3" s="7" t="s">
        <v>586</v>
      </c>
      <c r="B3" s="1436" t="str">
        <f>IF('Component Unit Template'!G3="","",'Component Unit Template'!G3)</f>
        <v/>
      </c>
      <c r="C3" s="1437"/>
    </row>
    <row r="4" spans="1:4">
      <c r="A4" s="7" t="s">
        <v>315</v>
      </c>
      <c r="B4" s="1438" t="str">
        <f>IF('Component Unit Template'!G4="","",'Component Unit Template'!G4)</f>
        <v/>
      </c>
      <c r="C4" s="1439"/>
    </row>
    <row r="5" spans="1:4">
      <c r="A5" s="7" t="s">
        <v>677</v>
      </c>
      <c r="B5" s="1440" t="str">
        <f>IF('Component Unit Template'!G5="","",'Component Unit Template'!G5)</f>
        <v/>
      </c>
      <c r="C5" s="1441"/>
    </row>
    <row r="6" spans="1:4">
      <c r="A6" s="7" t="s">
        <v>36</v>
      </c>
      <c r="B6" s="1449" t="str">
        <f>IF('Component Unit Template'!G6="","",'Component Unit Template'!G6)</f>
        <v/>
      </c>
      <c r="C6" s="1450"/>
    </row>
    <row r="7" spans="1:4">
      <c r="A7" s="156"/>
      <c r="B7" s="152"/>
      <c r="C7" s="151"/>
    </row>
    <row r="8" spans="1:4" hidden="1">
      <c r="B8" s="152"/>
      <c r="C8" s="151"/>
    </row>
    <row r="9" spans="1:4" hidden="1">
      <c r="B9" s="152"/>
      <c r="C9" s="151"/>
    </row>
    <row r="10" spans="1:4">
      <c r="A10" s="159"/>
      <c r="B10" s="160"/>
      <c r="C10" s="421"/>
      <c r="D10" s="144"/>
    </row>
    <row r="11" spans="1:4">
      <c r="A11" s="156"/>
      <c r="B11" s="152"/>
      <c r="C11" s="151"/>
    </row>
    <row r="12" spans="1:4">
      <c r="A12" s="157" t="s">
        <v>440</v>
      </c>
    </row>
    <row r="13" spans="1:4">
      <c r="A13" s="153" t="str">
        <f>'Component Unit Template'!A35</f>
        <v>For the Year Ended June 30, 2024</v>
      </c>
    </row>
    <row r="15" spans="1:4">
      <c r="A15" s="7" t="s">
        <v>201</v>
      </c>
      <c r="B15" s="1468"/>
      <c r="C15" s="1468"/>
    </row>
    <row r="16" spans="1:4" ht="18" customHeight="1">
      <c r="A16" s="242" t="s">
        <v>530</v>
      </c>
      <c r="B16" s="1466" t="str">
        <f>IF('Component Unit Template'!K72&lt;&gt;0,"Answer Required","N/A")</f>
        <v>N/A</v>
      </c>
      <c r="C16" s="1466"/>
    </row>
    <row r="17" spans="1:7" ht="18" customHeight="1">
      <c r="A17" s="243" t="s">
        <v>532</v>
      </c>
      <c r="B17" s="1471" t="str">
        <f>IF('Component Unit Template'!$K$72&lt;&gt;0,"Answer Required","N/A")</f>
        <v>N/A</v>
      </c>
      <c r="C17" s="1472"/>
    </row>
    <row r="18" spans="1:7" ht="49.15" customHeight="1">
      <c r="A18" s="244" t="s">
        <v>531</v>
      </c>
      <c r="B18" s="1467" t="str">
        <f>IF('Component Unit Template'!K72&lt;&gt;0,"Answer Required","N/A")</f>
        <v>N/A</v>
      </c>
      <c r="C18" s="1467"/>
    </row>
    <row r="19" spans="1:7" ht="40.5" customHeight="1">
      <c r="A19" s="244" t="s">
        <v>267</v>
      </c>
      <c r="B19" s="1466" t="str">
        <f>IF('Component Unit Template'!$K$72&lt;&gt;0,"Answer Required","N/A")</f>
        <v>N/A</v>
      </c>
      <c r="C19" s="1466"/>
    </row>
    <row r="20" spans="1:7" ht="33.75">
      <c r="A20" s="244" t="s">
        <v>136</v>
      </c>
      <c r="B20" s="1466" t="str">
        <f>IF('Component Unit Template'!$K$72&lt;&gt;0,"Answer Required","N/A")</f>
        <v>N/A</v>
      </c>
      <c r="C20" s="1466"/>
    </row>
    <row r="21" spans="1:7" ht="49.5" customHeight="1">
      <c r="B21" s="1473" t="s">
        <v>617</v>
      </c>
      <c r="C21" s="1474"/>
    </row>
    <row r="22" spans="1:7" ht="44.25" customHeight="1">
      <c r="B22" s="1475" t="str">
        <f>IF($B$20="no","Answer Required","N/A")</f>
        <v>N/A</v>
      </c>
      <c r="C22" s="1476"/>
    </row>
    <row r="23" spans="1:7" ht="26.25" customHeight="1">
      <c r="A23" s="244" t="s">
        <v>471</v>
      </c>
      <c r="B23" s="1466" t="str">
        <f>IF('Component Unit Template'!$K$72&lt;&gt;0,"Answer Required","N/A")</f>
        <v>N/A</v>
      </c>
      <c r="C23" s="1466"/>
    </row>
    <row r="24" spans="1:7" ht="27.75" customHeight="1"/>
    <row r="25" spans="1:7" ht="68.25" customHeight="1">
      <c r="A25" s="1469" t="s">
        <v>1374</v>
      </c>
      <c r="B25" s="1470"/>
      <c r="C25" s="1470"/>
      <c r="D25" s="1470"/>
      <c r="E25" s="1470"/>
      <c r="F25" s="1470"/>
      <c r="G25" s="424"/>
    </row>
    <row r="26" spans="1:7">
      <c r="A26" s="1457" t="str">
        <f>IF(B23="Yes","Answer Required","N/A")</f>
        <v>N/A</v>
      </c>
      <c r="B26" s="1458"/>
      <c r="C26" s="1458"/>
      <c r="D26" s="1458"/>
      <c r="E26" s="1458"/>
      <c r="F26" s="1459"/>
      <c r="G26" s="425"/>
    </row>
    <row r="27" spans="1:7">
      <c r="A27" s="1460"/>
      <c r="B27" s="1461"/>
      <c r="C27" s="1461"/>
      <c r="D27" s="1461"/>
      <c r="E27" s="1461"/>
      <c r="F27" s="1462"/>
      <c r="G27" s="425"/>
    </row>
    <row r="28" spans="1:7">
      <c r="A28" s="1463"/>
      <c r="B28" s="1464"/>
      <c r="C28" s="1464"/>
      <c r="D28" s="1464"/>
      <c r="E28" s="1464"/>
      <c r="F28" s="1465"/>
      <c r="G28" s="425"/>
    </row>
    <row r="30" spans="1:7" hidden="1">
      <c r="A30" s="2" t="s">
        <v>537</v>
      </c>
    </row>
    <row r="31" spans="1:7" hidden="1">
      <c r="A31" s="2" t="s">
        <v>206</v>
      </c>
      <c r="B31" s="2" t="s">
        <v>533</v>
      </c>
      <c r="C31" s="2" t="s">
        <v>527</v>
      </c>
    </row>
    <row r="32" spans="1:7" hidden="1">
      <c r="A32" s="2" t="s">
        <v>207</v>
      </c>
      <c r="B32" s="2" t="s">
        <v>208</v>
      </c>
      <c r="C32" s="2" t="s">
        <v>652</v>
      </c>
    </row>
    <row r="33" spans="1:6" hidden="1">
      <c r="A33" s="2" t="s">
        <v>208</v>
      </c>
      <c r="B33" s="2" t="s">
        <v>209</v>
      </c>
      <c r="C33" s="2" t="s">
        <v>231</v>
      </c>
    </row>
    <row r="34" spans="1:6" hidden="1">
      <c r="A34" s="2" t="s">
        <v>65</v>
      </c>
      <c r="B34" s="2" t="s">
        <v>66</v>
      </c>
    </row>
    <row r="36" spans="1:6">
      <c r="A36" s="1477"/>
      <c r="B36" s="1477"/>
      <c r="C36" s="1477"/>
      <c r="D36" s="1477"/>
      <c r="E36" s="1477"/>
      <c r="F36" s="1477"/>
    </row>
    <row r="39" spans="1:6">
      <c r="B39" s="151"/>
    </row>
  </sheetData>
  <sheetProtection algorithmName="SHA-512" hashValue="PFgpaz9stePLDpsCyawabCwpooUFiQeupKDZVXtTX6bmy0BWY7r/Ge37kB3z1VdG//ca1qDQiUnwqiTNmy656Q==" saltValue="1Mf2iUXR8+fItvs48D9FrQ==" spinCount="100000" sheet="1" objects="1" scenarios="1"/>
  <dataConsolidate/>
  <customSheetViews>
    <customSheetView guid="{FBB78E72-3FBC-498A-91AC-D094BCE26D3C}" showGridLines="0" hiddenRows="1" topLeftCell="A7">
      <selection activeCell="I25" sqref="I25"/>
      <pageMargins left="0.5" right="0.5" top="0.89" bottom="1" header="0.35" footer="0.5"/>
      <pageSetup scale="87"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topLeftCell="A7">
      <selection activeCell="I25" sqref="I25"/>
      <pageMargins left="0.5" right="0.5" top="0.89" bottom="1" header="0.35" footer="0.5"/>
      <pageSetup scale="87"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topLeftCell="A7">
      <selection activeCell="I25" sqref="I25"/>
      <pageMargins left="0.5" right="0.5" top="0.89" bottom="1" header="0.35" footer="0.5"/>
      <pageSetup scale="87"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view="pageBreakPreview">
      <pageMargins left="0.5" right="0.5" top="0.89" bottom="1" header="0.35" footer="0.5"/>
      <pageSetup scale="87"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PageBreaks="1" showGridLines="0" printArea="1" hiddenRows="1" view="pageBreakPreview" topLeftCell="A19">
      <selection activeCell="B3" sqref="B3:C3"/>
      <pageMargins left="0.5" right="0.5" top="0.89" bottom="1" header="0.35" footer="0.5"/>
      <pageSetup scale="87"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18">
    <mergeCell ref="A36:F36"/>
    <mergeCell ref="B1:C1"/>
    <mergeCell ref="B2:C2"/>
    <mergeCell ref="B17:C17"/>
    <mergeCell ref="B16:C16"/>
    <mergeCell ref="B3:C3"/>
    <mergeCell ref="B4:C4"/>
    <mergeCell ref="B5:C5"/>
    <mergeCell ref="B6:C6"/>
    <mergeCell ref="B19:C19"/>
    <mergeCell ref="B18:C18"/>
    <mergeCell ref="B15:C15"/>
    <mergeCell ref="A25:F25"/>
    <mergeCell ref="A26:F28"/>
    <mergeCell ref="B23:C23"/>
    <mergeCell ref="B20:C20"/>
    <mergeCell ref="B21:C21"/>
    <mergeCell ref="B22:C22"/>
  </mergeCells>
  <phoneticPr fontId="27" type="noConversion"/>
  <conditionalFormatting sqref="A26:F28">
    <cfRule type="cellIs" dxfId="122" priority="1" operator="equal">
      <formula>"Answer Required"</formula>
    </cfRule>
  </conditionalFormatting>
  <conditionalFormatting sqref="B16:C20">
    <cfRule type="cellIs" dxfId="121" priority="5" operator="equal">
      <formula>"Answer Required"</formula>
    </cfRule>
  </conditionalFormatting>
  <conditionalFormatting sqref="B22:C23">
    <cfRule type="cellIs" dxfId="120" priority="2" operator="equal">
      <formula>"Answer Required"</formula>
    </cfRule>
  </conditionalFormatting>
  <dataValidations count="3">
    <dataValidation type="list" allowBlank="1" showInputMessage="1" showErrorMessage="1" error="Use the drop-down list to enter FIFO, LIFO, Average Cost, or Weighted Average." sqref="B16:C16" xr:uid="{00000000-0002-0000-0D00-000000000000}">
      <formula1>$A$31:$A$34</formula1>
    </dataValidation>
    <dataValidation type="list" allowBlank="1" showInputMessage="1" showErrorMessage="1" error="Please use drop-down list to make a selection" sqref="B17:C17" xr:uid="{00000000-0002-0000-0D00-000001000000}">
      <formula1>$B$31:$B$34</formula1>
    </dataValidation>
    <dataValidation type="list" allowBlank="1" showInputMessage="1" showErrorMessage="1" error="Please use drop-down list to select Yes, No, or N/A" sqref="B19:C20 B23:C23" xr:uid="{00000000-0002-0000-0D00-000002000000}">
      <formula1>$C$31:$C$33</formula1>
    </dataValidation>
  </dataValidations>
  <pageMargins left="0.75" right="0.5" top="0.89" bottom="1" header="0.35" footer="0.5"/>
  <pageSetup scale="87" orientation="portrait" cellComments="asDisplayed" r:id="rId6"/>
  <headerFooter alignWithMargins="0">
    <oddHeader>&amp;C&amp;"Times New Roman,Bold"Attachment CU4
Financial Statement Template (FST)
&amp;A</oddHeader>
    <oddFooter>&amp;L&amp;"Times New Roman,Regular"&amp;F \ &amp;A&amp;RPage &amp;P</oddFooter>
  </headerFooter>
  <legacyDrawing r:id="rId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16"/>
  <sheetViews>
    <sheetView showGridLines="0" topLeftCell="A496" zoomScaleNormal="100" zoomScaleSheetLayoutView="93" workbookViewId="0">
      <selection activeCell="C515" sqref="C515"/>
    </sheetView>
  </sheetViews>
  <sheetFormatPr defaultColWidth="8.85546875" defaultRowHeight="12"/>
  <cols>
    <col min="1" max="1" width="27" style="48" customWidth="1"/>
    <col min="2" max="2" width="18.7109375" style="48" customWidth="1"/>
    <col min="3" max="3" width="93" style="48" customWidth="1"/>
    <col min="4" max="4" width="1.42578125" style="48" hidden="1" customWidth="1"/>
    <col min="5" max="5" width="4.42578125" style="48" customWidth="1"/>
    <col min="6" max="6" width="31.140625" style="48" hidden="1" customWidth="1"/>
    <col min="7" max="7" width="13.5703125" style="48" customWidth="1"/>
    <col min="8" max="8" width="13.85546875" style="48" customWidth="1"/>
    <col min="9" max="9" width="16.85546875" style="48" customWidth="1"/>
    <col min="10" max="10" width="17.28515625" style="48" customWidth="1"/>
    <col min="11" max="16384" width="8.85546875" style="48"/>
  </cols>
  <sheetData>
    <row r="1" spans="1:5" ht="24">
      <c r="A1" s="399" t="s">
        <v>507</v>
      </c>
      <c r="B1" s="1509" t="str">
        <f>'Component Unit Template'!G1</f>
        <v/>
      </c>
      <c r="C1" s="1510"/>
      <c r="D1" s="298"/>
      <c r="E1" s="298"/>
    </row>
    <row r="2" spans="1:5">
      <c r="A2" s="399" t="s">
        <v>528</v>
      </c>
      <c r="B2" s="1509" t="str">
        <f>IF('Component Unit Template'!G2="","",'Component Unit Template'!G2)</f>
        <v/>
      </c>
      <c r="C2" s="1510"/>
      <c r="D2" s="298"/>
      <c r="E2" s="298"/>
    </row>
    <row r="3" spans="1:5">
      <c r="A3" s="399" t="s">
        <v>586</v>
      </c>
      <c r="B3" s="1511" t="str">
        <f>IF('Component Unit Template'!G3="","",'Component Unit Template'!G3)</f>
        <v/>
      </c>
      <c r="C3" s="1512"/>
      <c r="D3" s="298"/>
      <c r="E3" s="298"/>
    </row>
    <row r="4" spans="1:5">
      <c r="A4" s="399" t="s">
        <v>315</v>
      </c>
      <c r="B4" s="1513" t="str">
        <f>IF('Component Unit Template'!G4="","",'Component Unit Template'!G4)</f>
        <v/>
      </c>
      <c r="C4" s="1514"/>
      <c r="D4" s="298"/>
      <c r="E4" s="298"/>
    </row>
    <row r="5" spans="1:5">
      <c r="A5" s="399" t="s">
        <v>677</v>
      </c>
      <c r="B5" s="1517" t="str">
        <f>IF('Component Unit Template'!G5="","",'Component Unit Template'!G5)</f>
        <v/>
      </c>
      <c r="C5" s="1518"/>
      <c r="D5" s="298"/>
      <c r="E5" s="298"/>
    </row>
    <row r="6" spans="1:5">
      <c r="A6" s="399" t="s">
        <v>36</v>
      </c>
      <c r="B6" s="1519" t="str">
        <f>IF('Component Unit Template'!G6="","",'Component Unit Template'!G6)</f>
        <v/>
      </c>
      <c r="C6" s="1520"/>
      <c r="D6" s="298"/>
      <c r="E6" s="298"/>
    </row>
    <row r="7" spans="1:5" hidden="1">
      <c r="A7" s="299"/>
      <c r="B7" s="300"/>
      <c r="C7" s="298"/>
      <c r="D7" s="298"/>
      <c r="E7" s="298"/>
    </row>
    <row r="8" spans="1:5">
      <c r="A8" s="301"/>
      <c r="B8" s="302"/>
      <c r="C8" s="303"/>
      <c r="D8" s="298"/>
      <c r="E8" s="298"/>
    </row>
    <row r="9" spans="1:5">
      <c r="A9" s="299"/>
      <c r="B9" s="300"/>
      <c r="C9" s="298"/>
      <c r="D9" s="298"/>
      <c r="E9" s="298"/>
    </row>
    <row r="10" spans="1:5">
      <c r="A10" s="118" t="s">
        <v>441</v>
      </c>
      <c r="E10" s="924"/>
    </row>
    <row r="11" spans="1:5">
      <c r="A11" s="304" t="str">
        <f>'Component Unit Template'!A35</f>
        <v>For the Year Ended June 30, 2024</v>
      </c>
      <c r="E11" s="925"/>
    </row>
    <row r="12" spans="1:5" ht="15.6" customHeight="1"/>
    <row r="13" spans="1:5" hidden="1">
      <c r="A13" s="47" t="s">
        <v>631</v>
      </c>
      <c r="B13" s="52"/>
      <c r="C13" s="305"/>
    </row>
    <row r="14" spans="1:5">
      <c r="A14" s="306" t="s">
        <v>60</v>
      </c>
      <c r="B14" s="52"/>
      <c r="C14" s="249"/>
    </row>
    <row r="15" spans="1:5">
      <c r="A15" s="268" t="s">
        <v>752</v>
      </c>
      <c r="B15" s="307">
        <v>1</v>
      </c>
      <c r="C15" s="308" t="s">
        <v>210</v>
      </c>
    </row>
    <row r="16" spans="1:5">
      <c r="B16" s="309"/>
      <c r="C16" s="249" t="s">
        <v>912</v>
      </c>
    </row>
    <row r="17" spans="1:3" ht="4.5" hidden="1" customHeight="1">
      <c r="B17" s="309"/>
      <c r="C17" s="249"/>
    </row>
    <row r="18" spans="1:3">
      <c r="B18" s="309"/>
      <c r="C18" s="249" t="s">
        <v>1310</v>
      </c>
    </row>
    <row r="19" spans="1:3">
      <c r="B19" s="309"/>
      <c r="C19" s="536" t="str">
        <f>IF(A15="YES","Answer Required","N/A")</f>
        <v>N/A</v>
      </c>
    </row>
    <row r="20" spans="1:3" hidden="1"/>
    <row r="22" spans="1:3">
      <c r="A22" s="306" t="s">
        <v>61</v>
      </c>
      <c r="B22" s="52"/>
      <c r="C22" s="249"/>
    </row>
    <row r="23" spans="1:3" ht="36">
      <c r="A23" s="268" t="s">
        <v>752</v>
      </c>
      <c r="B23" s="441">
        <v>2</v>
      </c>
      <c r="C23" s="310" t="s">
        <v>551</v>
      </c>
    </row>
    <row r="24" spans="1:3">
      <c r="B24" s="52"/>
      <c r="C24" s="249" t="s">
        <v>552</v>
      </c>
    </row>
    <row r="25" spans="1:3" ht="4.5" hidden="1" customHeight="1">
      <c r="B25" s="52"/>
      <c r="C25" s="249"/>
    </row>
    <row r="26" spans="1:3">
      <c r="B26" s="52"/>
      <c r="C26" s="249" t="s">
        <v>913</v>
      </c>
    </row>
    <row r="27" spans="1:3">
      <c r="B27" s="52"/>
      <c r="C27" s="536" t="str">
        <f>IF(A23="YES","Answer Required","N/A")</f>
        <v>N/A</v>
      </c>
    </row>
    <row r="28" spans="1:3">
      <c r="B28" s="52"/>
      <c r="C28" s="249"/>
    </row>
    <row r="29" spans="1:3">
      <c r="A29" s="48" t="s">
        <v>602</v>
      </c>
      <c r="B29" s="52"/>
      <c r="C29" s="249"/>
    </row>
    <row r="30" spans="1:3">
      <c r="A30" s="268" t="s">
        <v>752</v>
      </c>
      <c r="B30" s="441">
        <v>3</v>
      </c>
      <c r="C30" s="308" t="s">
        <v>601</v>
      </c>
    </row>
    <row r="31" spans="1:3">
      <c r="B31" s="52"/>
      <c r="C31" s="249" t="s">
        <v>552</v>
      </c>
    </row>
    <row r="32" spans="1:3" ht="3.75" hidden="1" customHeight="1">
      <c r="B32" s="52"/>
      <c r="C32" s="249"/>
    </row>
    <row r="33" spans="1:3">
      <c r="B33" s="52"/>
      <c r="C33" s="249" t="s">
        <v>914</v>
      </c>
    </row>
    <row r="34" spans="1:3">
      <c r="B34" s="52"/>
      <c r="C34" s="536" t="str">
        <f>IF(A30="YES","Answer Required","N/A")</f>
        <v>N/A</v>
      </c>
    </row>
    <row r="35" spans="1:3">
      <c r="B35" s="52"/>
      <c r="C35" s="249"/>
    </row>
    <row r="36" spans="1:3">
      <c r="A36" s="48" t="s">
        <v>603</v>
      </c>
      <c r="B36" s="52"/>
      <c r="C36" s="249"/>
    </row>
    <row r="37" spans="1:3" ht="77.25" customHeight="1">
      <c r="A37" s="1523" t="s">
        <v>1839</v>
      </c>
      <c r="B37" s="1524"/>
      <c r="C37" s="1525"/>
    </row>
    <row r="38" spans="1:3">
      <c r="A38" s="268" t="s">
        <v>752</v>
      </c>
      <c r="B38" s="441">
        <v>4</v>
      </c>
      <c r="C38" s="308" t="s">
        <v>812</v>
      </c>
    </row>
    <row r="39" spans="1:3">
      <c r="B39" s="52"/>
      <c r="C39" s="249" t="s">
        <v>553</v>
      </c>
    </row>
    <row r="40" spans="1:3" hidden="1">
      <c r="B40" s="52"/>
      <c r="C40" s="249"/>
    </row>
    <row r="41" spans="1:3">
      <c r="B41" s="52"/>
      <c r="C41" s="249" t="s">
        <v>915</v>
      </c>
    </row>
    <row r="42" spans="1:3">
      <c r="B42" s="52"/>
      <c r="C42" s="536" t="str">
        <f>IF(A38="YES","Answer Required","N/A")</f>
        <v>N/A</v>
      </c>
    </row>
    <row r="44" spans="1:3">
      <c r="A44" s="48" t="s">
        <v>706</v>
      </c>
    </row>
    <row r="45" spans="1:3">
      <c r="A45" s="268" t="s">
        <v>752</v>
      </c>
      <c r="B45" s="441">
        <v>5</v>
      </c>
      <c r="C45" s="308" t="s">
        <v>946</v>
      </c>
    </row>
    <row r="46" spans="1:3">
      <c r="C46" s="48" t="s">
        <v>459</v>
      </c>
    </row>
    <row r="47" spans="1:3" ht="4.5" hidden="1" customHeight="1"/>
    <row r="48" spans="1:3">
      <c r="C48" s="48" t="s">
        <v>1106</v>
      </c>
    </row>
    <row r="49" spans="1:3">
      <c r="C49" s="536" t="str">
        <f>IF(A45="YES","Answer Required","N/A")</f>
        <v>N/A</v>
      </c>
    </row>
    <row r="50" spans="1:3">
      <c r="C50" s="249"/>
    </row>
    <row r="51" spans="1:3" s="381" customFormat="1" ht="15">
      <c r="A51" s="306" t="s">
        <v>777</v>
      </c>
      <c r="B51" s="52"/>
      <c r="C51" s="249"/>
    </row>
    <row r="52" spans="1:3" s="381" customFormat="1" ht="101.25" customHeight="1">
      <c r="A52" s="268" t="s">
        <v>752</v>
      </c>
      <c r="B52" s="307">
        <v>6</v>
      </c>
      <c r="C52" s="383" t="s">
        <v>1634</v>
      </c>
    </row>
    <row r="53" spans="1:3" s="381" customFormat="1" ht="24">
      <c r="A53" s="48"/>
      <c r="B53" s="309"/>
      <c r="C53" s="383" t="s">
        <v>1115</v>
      </c>
    </row>
    <row r="54" spans="1:3" s="381" customFormat="1" ht="15">
      <c r="A54" s="48"/>
      <c r="B54" s="52"/>
      <c r="C54" s="383" t="s">
        <v>773</v>
      </c>
    </row>
    <row r="55" spans="1:3" s="381" customFormat="1" ht="15">
      <c r="A55" s="48"/>
      <c r="B55" s="52"/>
      <c r="C55" s="536" t="str">
        <f>IF(A52="YES","Answer Required","N/A")</f>
        <v>N/A</v>
      </c>
    </row>
    <row r="56" spans="1:3" s="381" customFormat="1" ht="15">
      <c r="A56" s="1521" t="s">
        <v>774</v>
      </c>
      <c r="B56" s="1522"/>
      <c r="C56" s="384" t="s">
        <v>775</v>
      </c>
    </row>
    <row r="57" spans="1:3" s="381" customFormat="1" ht="25.5" customHeight="1">
      <c r="A57" s="1521" t="s">
        <v>421</v>
      </c>
      <c r="B57" s="1522"/>
      <c r="C57" s="537" t="str">
        <f>IF(A52="YES","Answer Required","N/A")</f>
        <v>N/A</v>
      </c>
    </row>
    <row r="58" spans="1:3" s="381" customFormat="1" ht="25.5" customHeight="1">
      <c r="A58" s="1521" t="s">
        <v>904</v>
      </c>
      <c r="B58" s="1522"/>
      <c r="C58" s="537" t="str">
        <f>IF(A52="YES","Answer Required","N/A")</f>
        <v>N/A</v>
      </c>
    </row>
    <row r="59" spans="1:3" s="381" customFormat="1" ht="15">
      <c r="A59" s="1521" t="s">
        <v>776</v>
      </c>
      <c r="B59" s="1522"/>
      <c r="C59" s="537" t="str">
        <f>IF(A52="YES","Answer Required","N/A")</f>
        <v>N/A</v>
      </c>
    </row>
    <row r="60" spans="1:3" ht="14.25" customHeight="1"/>
    <row r="61" spans="1:3">
      <c r="A61" s="306" t="s">
        <v>460</v>
      </c>
    </row>
    <row r="62" spans="1:3" ht="53.25" customHeight="1">
      <c r="A62" s="268" t="s">
        <v>752</v>
      </c>
      <c r="B62" s="441" t="s">
        <v>980</v>
      </c>
      <c r="C62" s="308" t="s">
        <v>813</v>
      </c>
    </row>
    <row r="63" spans="1:3" ht="38.25" customHeight="1">
      <c r="C63" s="503" t="s">
        <v>930</v>
      </c>
    </row>
    <row r="64" spans="1:3" ht="5.25" hidden="1" customHeight="1">
      <c r="C64" s="504"/>
    </row>
    <row r="65" spans="1:5">
      <c r="C65" s="505" t="s">
        <v>982</v>
      </c>
    </row>
    <row r="66" spans="1:5" ht="49.5" customHeight="1">
      <c r="C66" s="506" t="str">
        <f>IF($A$62="Yes","Answer Required","N/A")</f>
        <v>N/A</v>
      </c>
    </row>
    <row r="67" spans="1:5" ht="187.5" customHeight="1">
      <c r="A67" s="268" t="s">
        <v>752</v>
      </c>
      <c r="B67" s="745" t="s">
        <v>981</v>
      </c>
      <c r="C67" s="741" t="s">
        <v>1348</v>
      </c>
    </row>
    <row r="68" spans="1:5" ht="37.5" customHeight="1">
      <c r="A68" s="502"/>
      <c r="B68" s="502"/>
      <c r="C68" s="506" t="str">
        <f>IF($A$67="Yes","Answer Required","N/A")</f>
        <v>N/A</v>
      </c>
    </row>
    <row r="71" spans="1:5">
      <c r="A71" s="48" t="s">
        <v>659</v>
      </c>
    </row>
    <row r="72" spans="1:5" ht="24">
      <c r="A72" s="268" t="s">
        <v>752</v>
      </c>
      <c r="B72" s="441">
        <v>8</v>
      </c>
      <c r="C72" s="312" t="s">
        <v>51</v>
      </c>
    </row>
    <row r="73" spans="1:5" ht="12.75" customHeight="1">
      <c r="A73" s="313"/>
      <c r="B73" s="314"/>
      <c r="C73" s="315" t="s">
        <v>1083</v>
      </c>
      <c r="E73" s="245"/>
    </row>
    <row r="74" spans="1:5" ht="63" customHeight="1">
      <c r="A74" s="313"/>
      <c r="B74" s="314"/>
      <c r="C74" s="316" t="s">
        <v>1084</v>
      </c>
    </row>
    <row r="75" spans="1:5">
      <c r="C75" s="48" t="s">
        <v>122</v>
      </c>
    </row>
    <row r="76" spans="1:5" ht="5.25" hidden="1" customHeight="1"/>
    <row r="77" spans="1:5">
      <c r="C77" s="48" t="s">
        <v>872</v>
      </c>
    </row>
    <row r="78" spans="1:5">
      <c r="C78" s="1515" t="str">
        <f>IF($A$72="No","Answer Required","N/A")</f>
        <v>N/A</v>
      </c>
    </row>
    <row r="79" spans="1:5" ht="11.25" customHeight="1">
      <c r="C79" s="1516"/>
    </row>
    <row r="80" spans="1:5" ht="11.25" customHeight="1">
      <c r="C80" s="1516"/>
    </row>
    <row r="81" spans="1:5" ht="11.25" customHeight="1">
      <c r="C81" s="1516"/>
    </row>
    <row r="82" spans="1:5" ht="5.25" customHeight="1">
      <c r="C82" s="1516"/>
    </row>
    <row r="84" spans="1:5" ht="12" customHeight="1">
      <c r="A84" s="1531" t="s">
        <v>640</v>
      </c>
      <c r="B84" s="1532"/>
      <c r="C84" s="1532"/>
    </row>
    <row r="85" spans="1:5" ht="15" customHeight="1">
      <c r="A85" s="1533" t="s">
        <v>850</v>
      </c>
      <c r="B85" s="1534"/>
      <c r="C85" s="1534"/>
    </row>
    <row r="86" spans="1:5" ht="51" customHeight="1">
      <c r="A86" s="268" t="s">
        <v>752</v>
      </c>
      <c r="B86" s="441" t="s">
        <v>707</v>
      </c>
      <c r="C86" s="293" t="s">
        <v>1433</v>
      </c>
      <c r="E86" s="249"/>
    </row>
    <row r="87" spans="1:5" hidden="1">
      <c r="A87" s="276"/>
      <c r="B87" s="311"/>
      <c r="C87" s="1535" t="str">
        <f>IF($A$86="Yes","Answer Required","N/A")</f>
        <v>N/A</v>
      </c>
    </row>
    <row r="88" spans="1:5" hidden="1">
      <c r="A88" s="276"/>
      <c r="B88" s="311"/>
      <c r="C88" s="1536"/>
    </row>
    <row r="89" spans="1:5" hidden="1">
      <c r="A89" s="276"/>
      <c r="B89" s="311"/>
      <c r="C89" s="1537"/>
    </row>
    <row r="90" spans="1:5" hidden="1">
      <c r="A90" s="394"/>
      <c r="B90" s="249"/>
      <c r="C90" s="249"/>
    </row>
    <row r="91" spans="1:5" ht="45.75" hidden="1" customHeight="1">
      <c r="A91" s="268" t="s">
        <v>752</v>
      </c>
      <c r="B91" s="441" t="s">
        <v>708</v>
      </c>
      <c r="C91" s="247" t="s">
        <v>87</v>
      </c>
      <c r="E91" s="249"/>
    </row>
    <row r="92" spans="1:5" hidden="1">
      <c r="A92" s="394"/>
      <c r="B92" s="249"/>
      <c r="C92" s="1526" t="str">
        <f>IF($A$91="Yes","Answer Required","N/A")</f>
        <v>N/A</v>
      </c>
    </row>
    <row r="93" spans="1:5" hidden="1">
      <c r="A93" s="394"/>
      <c r="B93" s="249"/>
      <c r="C93" s="1527"/>
    </row>
    <row r="94" spans="1:5" hidden="1">
      <c r="A94" s="394"/>
      <c r="B94" s="249"/>
      <c r="C94" s="1528"/>
    </row>
    <row r="95" spans="1:5" hidden="1">
      <c r="A95" s="394"/>
      <c r="B95" s="249"/>
      <c r="C95" s="249"/>
    </row>
    <row r="96" spans="1:5" ht="42.75" hidden="1" customHeight="1">
      <c r="A96" s="268" t="s">
        <v>752</v>
      </c>
      <c r="B96" s="441" t="s">
        <v>709</v>
      </c>
      <c r="C96" s="247" t="s">
        <v>991</v>
      </c>
      <c r="E96" s="249"/>
    </row>
    <row r="97" spans="1:5" hidden="1">
      <c r="A97" s="394"/>
      <c r="B97" s="249"/>
      <c r="C97" s="1526" t="str">
        <f>IF($A$96="Yes","Answer Required","N/A")</f>
        <v>N/A</v>
      </c>
    </row>
    <row r="98" spans="1:5" hidden="1">
      <c r="A98" s="394"/>
      <c r="B98" s="249"/>
      <c r="C98" s="1527"/>
    </row>
    <row r="99" spans="1:5" hidden="1">
      <c r="A99" s="394"/>
      <c r="B99" s="249"/>
      <c r="C99" s="1528"/>
    </row>
    <row r="100" spans="1:5" hidden="1">
      <c r="A100" s="394"/>
      <c r="B100" s="249"/>
      <c r="C100" s="249"/>
    </row>
    <row r="101" spans="1:5" ht="48" hidden="1" customHeight="1">
      <c r="A101" s="268" t="s">
        <v>752</v>
      </c>
      <c r="B101" s="441" t="s">
        <v>710</v>
      </c>
      <c r="C101" s="247" t="s">
        <v>58</v>
      </c>
      <c r="E101" s="249"/>
    </row>
    <row r="102" spans="1:5" hidden="1">
      <c r="A102" s="394"/>
      <c r="B102" s="249"/>
      <c r="C102" s="1526" t="str">
        <f>IF($A$101="Yes","Answer Required","N/A")</f>
        <v>N/A</v>
      </c>
    </row>
    <row r="103" spans="1:5" hidden="1">
      <c r="A103" s="394"/>
      <c r="B103" s="249"/>
      <c r="C103" s="1527"/>
    </row>
    <row r="104" spans="1:5" hidden="1">
      <c r="A104" s="394"/>
      <c r="B104" s="249"/>
      <c r="C104" s="1528"/>
    </row>
    <row r="105" spans="1:5" hidden="1">
      <c r="A105" s="394"/>
      <c r="B105" s="249"/>
      <c r="C105" s="249"/>
    </row>
    <row r="106" spans="1:5" ht="40.5" hidden="1" customHeight="1">
      <c r="A106" s="268" t="str">
        <f>IF(COUNTIF($A$96:$A$101,"yes")&gt;0,"Answer Required","N/A")</f>
        <v>N/A</v>
      </c>
      <c r="B106" s="441" t="s">
        <v>711</v>
      </c>
      <c r="C106" s="248" t="s">
        <v>916</v>
      </c>
    </row>
    <row r="107" spans="1:5" hidden="1">
      <c r="A107" s="394"/>
      <c r="B107" s="249"/>
      <c r="C107" s="1526" t="str">
        <f>IF($A$106="Yes","Answer Required","N/A")</f>
        <v>N/A</v>
      </c>
    </row>
    <row r="108" spans="1:5" hidden="1">
      <c r="A108" s="394"/>
      <c r="B108" s="249"/>
      <c r="C108" s="1527"/>
    </row>
    <row r="109" spans="1:5" hidden="1">
      <c r="A109" s="394"/>
      <c r="B109" s="249"/>
      <c r="C109" s="1528"/>
    </row>
    <row r="110" spans="1:5" ht="62.25" hidden="1" customHeight="1">
      <c r="A110" s="394"/>
      <c r="B110" s="249"/>
      <c r="C110" s="257" t="s">
        <v>814</v>
      </c>
    </row>
    <row r="111" spans="1:5" hidden="1">
      <c r="A111" s="394"/>
      <c r="B111" s="249"/>
      <c r="C111" s="249"/>
    </row>
    <row r="112" spans="1:5" ht="66" hidden="1" customHeight="1">
      <c r="A112" s="268" t="s">
        <v>752</v>
      </c>
      <c r="B112" s="441" t="s">
        <v>712</v>
      </c>
      <c r="C112" s="247" t="s">
        <v>942</v>
      </c>
    </row>
    <row r="113" spans="1:5" hidden="1">
      <c r="A113" s="394"/>
      <c r="B113" s="249"/>
      <c r="C113" s="1526" t="str">
        <f>IF($A$112="Yes","Answer Required","N/A")</f>
        <v>N/A</v>
      </c>
    </row>
    <row r="114" spans="1:5" hidden="1">
      <c r="A114" s="394"/>
      <c r="B114" s="249"/>
      <c r="C114" s="1527"/>
    </row>
    <row r="115" spans="1:5" hidden="1">
      <c r="A115" s="394"/>
      <c r="B115" s="249"/>
      <c r="C115" s="1528"/>
    </row>
    <row r="116" spans="1:5" ht="142.5" customHeight="1">
      <c r="A116" s="268" t="s">
        <v>752</v>
      </c>
      <c r="B116" s="441" t="s">
        <v>708</v>
      </c>
      <c r="C116" s="575" t="s">
        <v>1404</v>
      </c>
      <c r="E116" s="249"/>
    </row>
    <row r="117" spans="1:5">
      <c r="A117" s="394"/>
      <c r="B117" s="249"/>
      <c r="C117" s="1526" t="str">
        <f>IF($A$116="Yes","Answer Required","N/A")</f>
        <v>N/A</v>
      </c>
    </row>
    <row r="118" spans="1:5">
      <c r="A118" s="394"/>
      <c r="B118" s="249"/>
      <c r="C118" s="1527"/>
    </row>
    <row r="119" spans="1:5" ht="23.25" customHeight="1">
      <c r="A119" s="394"/>
      <c r="C119" s="1528"/>
    </row>
    <row r="120" spans="1:5" hidden="1">
      <c r="A120" s="394"/>
      <c r="B120" s="249"/>
      <c r="C120" s="249"/>
    </row>
    <row r="121" spans="1:5" ht="44.25" hidden="1" customHeight="1">
      <c r="A121" s="268" t="s">
        <v>752</v>
      </c>
      <c r="B121" s="441" t="s">
        <v>713</v>
      </c>
      <c r="C121" s="247" t="s">
        <v>817</v>
      </c>
    </row>
    <row r="122" spans="1:5" hidden="1">
      <c r="A122" s="394"/>
      <c r="B122" s="249"/>
      <c r="C122" s="1526" t="str">
        <f>IF($A$121="Yes","Answer Required","N/A")</f>
        <v>N/A</v>
      </c>
    </row>
    <row r="123" spans="1:5" hidden="1">
      <c r="A123" s="394"/>
      <c r="B123" s="249"/>
      <c r="C123" s="1527"/>
    </row>
    <row r="124" spans="1:5" hidden="1">
      <c r="A124" s="394"/>
      <c r="B124" s="249"/>
      <c r="C124" s="1528"/>
    </row>
    <row r="125" spans="1:5" hidden="1">
      <c r="A125" s="394"/>
      <c r="B125" s="249"/>
      <c r="C125" s="249"/>
    </row>
    <row r="126" spans="1:5" ht="42" hidden="1" customHeight="1">
      <c r="A126" s="268"/>
      <c r="B126" s="441" t="s">
        <v>714</v>
      </c>
      <c r="C126" s="247" t="s">
        <v>779</v>
      </c>
    </row>
    <row r="127" spans="1:5" hidden="1">
      <c r="A127" s="394"/>
      <c r="B127" s="249"/>
      <c r="C127" s="1526"/>
    </row>
    <row r="128" spans="1:5" hidden="1">
      <c r="A128" s="394"/>
      <c r="B128" s="249"/>
      <c r="C128" s="1527"/>
    </row>
    <row r="129" spans="1:6" hidden="1">
      <c r="A129" s="394"/>
      <c r="B129" s="249"/>
      <c r="C129" s="1528"/>
    </row>
    <row r="130" spans="1:6" hidden="1">
      <c r="A130" s="394"/>
      <c r="B130" s="249"/>
      <c r="C130" s="249"/>
    </row>
    <row r="131" spans="1:6" ht="30.75" hidden="1" customHeight="1">
      <c r="A131" s="268" t="str">
        <f>IF((COUNTIF($A$86:$A$121,"yes"))&gt;0,"Answer Required","N/A")</f>
        <v>N/A</v>
      </c>
      <c r="B131" s="441" t="s">
        <v>714</v>
      </c>
      <c r="C131" s="247" t="s">
        <v>1087</v>
      </c>
    </row>
    <row r="132" spans="1:6" hidden="1">
      <c r="A132" s="394"/>
      <c r="B132" s="249"/>
      <c r="C132" s="1526" t="str">
        <f>IF($A$131="Yes","Answer Required","N/A")</f>
        <v>N/A</v>
      </c>
    </row>
    <row r="133" spans="1:6" hidden="1">
      <c r="A133" s="394"/>
      <c r="B133" s="249"/>
      <c r="C133" s="1527"/>
    </row>
    <row r="134" spans="1:6" hidden="1">
      <c r="A134" s="394"/>
      <c r="B134" s="249"/>
      <c r="C134" s="1528"/>
    </row>
    <row r="135" spans="1:6" hidden="1">
      <c r="A135" s="394"/>
      <c r="B135" s="249"/>
      <c r="C135" s="249"/>
    </row>
    <row r="136" spans="1:6" ht="54.75" hidden="1" customHeight="1">
      <c r="A136" s="268" t="str">
        <f>IF((COUNTIF($A$86:$A$121,"yes"))&gt;0,"Answer Required","N/A")</f>
        <v>N/A</v>
      </c>
      <c r="B136" s="441" t="s">
        <v>778</v>
      </c>
      <c r="C136" s="247" t="s">
        <v>815</v>
      </c>
    </row>
    <row r="137" spans="1:6" hidden="1">
      <c r="A137" s="394"/>
      <c r="B137" s="249"/>
      <c r="C137" s="1526" t="str">
        <f>IF($A$136="Yes","Answer Required","N/A")</f>
        <v>N/A</v>
      </c>
    </row>
    <row r="138" spans="1:6" hidden="1">
      <c r="A138" s="394"/>
      <c r="B138" s="249"/>
      <c r="C138" s="1527"/>
    </row>
    <row r="139" spans="1:6" hidden="1">
      <c r="A139" s="394"/>
      <c r="B139" s="249"/>
      <c r="C139" s="1528"/>
    </row>
    <row r="140" spans="1:6">
      <c r="B140" s="311"/>
      <c r="C140" s="317"/>
    </row>
    <row r="141" spans="1:6">
      <c r="A141" s="306" t="s">
        <v>660</v>
      </c>
      <c r="E141" s="309"/>
      <c r="F141" s="249"/>
    </row>
    <row r="142" spans="1:6" ht="62.25" customHeight="1">
      <c r="A142" s="268" t="s">
        <v>752</v>
      </c>
      <c r="B142" s="307">
        <v>10</v>
      </c>
      <c r="C142" s="271" t="s">
        <v>1114</v>
      </c>
    </row>
    <row r="143" spans="1:6" ht="37.5" customHeight="1">
      <c r="A143" s="442"/>
      <c r="B143" s="484"/>
      <c r="C143" s="280" t="str">
        <f>IF($A$142="Yes","Answer Required","N/A")</f>
        <v>N/A</v>
      </c>
    </row>
    <row r="144" spans="1:6" ht="24">
      <c r="A144" s="394"/>
      <c r="B144" s="485"/>
      <c r="C144" s="281" t="s">
        <v>695</v>
      </c>
    </row>
    <row r="145" spans="1:3" ht="24.75" customHeight="1">
      <c r="A145" s="394"/>
      <c r="B145" s="485"/>
      <c r="C145" s="282" t="s">
        <v>430</v>
      </c>
    </row>
    <row r="146" spans="1:3" ht="24">
      <c r="A146" s="394"/>
      <c r="B146" s="485"/>
      <c r="C146" s="282" t="s">
        <v>264</v>
      </c>
    </row>
    <row r="147" spans="1:3" ht="24">
      <c r="A147" s="394"/>
      <c r="B147" s="485"/>
      <c r="C147" s="282" t="s">
        <v>265</v>
      </c>
    </row>
    <row r="148" spans="1:3" ht="14.25" customHeight="1">
      <c r="A148" s="394"/>
      <c r="B148" s="485"/>
      <c r="C148" s="282" t="s">
        <v>266</v>
      </c>
    </row>
    <row r="149" spans="1:3" ht="49.5" customHeight="1">
      <c r="A149" s="477"/>
      <c r="B149" s="486"/>
      <c r="C149" s="283" t="s">
        <v>113</v>
      </c>
    </row>
    <row r="150" spans="1:3" ht="39" hidden="1" customHeight="1">
      <c r="A150" s="268" t="str">
        <f>IF((COUNTIF($A$86:$A$121,"yes"))&gt;0,"Answer Required","N/A")</f>
        <v>N/A</v>
      </c>
      <c r="B150" s="307" t="s">
        <v>246</v>
      </c>
      <c r="C150" s="284" t="s">
        <v>943</v>
      </c>
    </row>
    <row r="151" spans="1:3" hidden="1">
      <c r="A151" s="487"/>
      <c r="B151" s="488"/>
      <c r="C151" s="277" t="str">
        <f>IF($A$150="Yes","Answer Required","N/A")</f>
        <v>N/A</v>
      </c>
    </row>
    <row r="152" spans="1:3" ht="84.75" hidden="1" customHeight="1">
      <c r="A152" s="268" t="str">
        <f>IF((COUNTIF($A$86:$A$121,"yes"))&gt;0,"Answer Required","N/A")</f>
        <v>N/A</v>
      </c>
      <c r="B152" s="307" t="s">
        <v>780</v>
      </c>
      <c r="C152" s="271" t="s">
        <v>944</v>
      </c>
    </row>
    <row r="153" spans="1:3" hidden="1">
      <c r="A153" s="487"/>
      <c r="B153" s="488"/>
      <c r="C153" s="277" t="str">
        <f>IF($A$152="Yes","Answer Required","N/A")</f>
        <v>N/A</v>
      </c>
    </row>
    <row r="154" spans="1:3" ht="27.75" hidden="1" customHeight="1">
      <c r="A154" s="268" t="str">
        <f>IF($A$152="Yes","Answer Required","N/A")</f>
        <v>N/A</v>
      </c>
      <c r="B154" s="307" t="s">
        <v>247</v>
      </c>
      <c r="C154" s="271" t="s">
        <v>803</v>
      </c>
    </row>
    <row r="155" spans="1:3" hidden="1">
      <c r="A155" s="487"/>
      <c r="B155" s="488"/>
      <c r="C155" s="277" t="str">
        <f>IF($A$154="Yes","Answer Required","N/A")</f>
        <v>N/A</v>
      </c>
    </row>
    <row r="156" spans="1:3" ht="27" hidden="1" customHeight="1">
      <c r="A156" s="268" t="str">
        <f>IF((COUNTIF($A$86:$A$121,"yes"))&gt;0,"Answer Required","N/A")</f>
        <v>N/A</v>
      </c>
      <c r="B156" s="307" t="s">
        <v>248</v>
      </c>
      <c r="C156" s="284" t="s">
        <v>318</v>
      </c>
    </row>
    <row r="157" spans="1:3" hidden="1">
      <c r="A157" s="487"/>
      <c r="B157" s="488"/>
      <c r="C157" s="287" t="str">
        <f>IF($A$156="Yes","Answer Required","N/A")</f>
        <v>N/A</v>
      </c>
    </row>
    <row r="158" spans="1:3" ht="39" hidden="1" customHeight="1">
      <c r="A158" s="268" t="str">
        <f>IF((COUNTIF($A$86:$A$121,"yes"))&gt;0,"Answer Required","N/A")</f>
        <v>N/A</v>
      </c>
      <c r="B158" s="307" t="s">
        <v>249</v>
      </c>
      <c r="C158" s="271" t="s">
        <v>818</v>
      </c>
    </row>
    <row r="159" spans="1:3" hidden="1">
      <c r="A159" s="487"/>
      <c r="B159" s="488"/>
      <c r="C159" s="280" t="str">
        <f>IF($A$158="Yes","Answer Required","N/A")</f>
        <v>N/A</v>
      </c>
    </row>
    <row r="160" spans="1:3" ht="38.25" hidden="1" customHeight="1">
      <c r="A160" s="268" t="str">
        <f>IF((COUNTIF($A$86:$A$121,"yes"))&gt;0,"Answer Required","N/A")</f>
        <v>N/A</v>
      </c>
      <c r="B160" s="307" t="s">
        <v>250</v>
      </c>
      <c r="C160" s="288" t="s">
        <v>320</v>
      </c>
    </row>
    <row r="161" spans="1:3" hidden="1">
      <c r="A161" s="487"/>
      <c r="B161" s="488"/>
      <c r="C161" s="277" t="str">
        <f>IF($A$160="Yes","Answer Required","N/A")</f>
        <v>N/A</v>
      </c>
    </row>
    <row r="162" spans="1:3" ht="147" hidden="1" customHeight="1">
      <c r="A162" s="268" t="str">
        <f>IF((COUNTIF($A$86:$A$121,"yes"))&gt;0,"Answer Required","N/A")</f>
        <v>N/A</v>
      </c>
      <c r="B162" s="307" t="s">
        <v>251</v>
      </c>
      <c r="C162" s="288" t="s">
        <v>896</v>
      </c>
    </row>
    <row r="163" spans="1:3" ht="27" hidden="1" customHeight="1">
      <c r="A163" s="268"/>
      <c r="B163" s="307" t="s">
        <v>781</v>
      </c>
      <c r="C163" s="271" t="s">
        <v>317</v>
      </c>
    </row>
    <row r="164" spans="1:3" hidden="1">
      <c r="A164" s="489"/>
      <c r="B164" s="490"/>
      <c r="C164" s="492"/>
    </row>
    <row r="165" spans="1:3" ht="19.5" hidden="1" customHeight="1">
      <c r="A165" s="430"/>
      <c r="B165" s="493" t="s">
        <v>781</v>
      </c>
      <c r="C165" s="290" t="s">
        <v>1066</v>
      </c>
    </row>
    <row r="166" spans="1:3" hidden="1">
      <c r="A166" s="1538" t="s">
        <v>888</v>
      </c>
      <c r="B166" s="1538"/>
      <c r="C166" s="289"/>
    </row>
    <row r="167" spans="1:3" hidden="1">
      <c r="A167" s="1539" t="s">
        <v>692</v>
      </c>
      <c r="B167" s="1539"/>
      <c r="C167" s="291"/>
    </row>
    <row r="168" spans="1:3" ht="39" hidden="1" customHeight="1">
      <c r="A168" s="1529" t="s">
        <v>693</v>
      </c>
      <c r="B168" s="1530"/>
      <c r="C168" s="291"/>
    </row>
    <row r="169" spans="1:3" ht="27" hidden="1" customHeight="1">
      <c r="A169" s="1539" t="s">
        <v>889</v>
      </c>
      <c r="B169" s="1539"/>
      <c r="C169" s="292">
        <f>C167-C168</f>
        <v>0</v>
      </c>
    </row>
    <row r="170" spans="1:3" ht="36" hidden="1" customHeight="1">
      <c r="A170" s="1539" t="s">
        <v>696</v>
      </c>
      <c r="B170" s="1539"/>
      <c r="C170" s="280"/>
    </row>
    <row r="171" spans="1:3" ht="22.5" hidden="1" customHeight="1">
      <c r="A171" s="1539" t="s">
        <v>252</v>
      </c>
      <c r="B171" s="1539"/>
      <c r="C171" s="280"/>
    </row>
    <row r="172" spans="1:3" ht="39" hidden="1" customHeight="1">
      <c r="A172" s="1539" t="s">
        <v>253</v>
      </c>
      <c r="B172" s="1539"/>
      <c r="C172" s="277"/>
    </row>
    <row r="173" spans="1:3" ht="18.75" customHeight="1">
      <c r="A173" s="426"/>
      <c r="B173" s="426"/>
      <c r="C173" s="279"/>
    </row>
    <row r="174" spans="1:3" ht="20.25" hidden="1" customHeight="1">
      <c r="A174" s="1487" t="s">
        <v>871</v>
      </c>
      <c r="B174" s="1487"/>
      <c r="C174" s="1487"/>
    </row>
    <row r="175" spans="1:3" ht="39" hidden="1" customHeight="1">
      <c r="A175" s="1552" t="s">
        <v>1315</v>
      </c>
      <c r="B175" s="1553"/>
      <c r="C175" s="1554"/>
    </row>
    <row r="176" spans="1:3" ht="30" hidden="1" customHeight="1">
      <c r="A176" s="268" t="s">
        <v>752</v>
      </c>
      <c r="B176" s="386" t="s">
        <v>890</v>
      </c>
      <c r="C176" s="428"/>
    </row>
    <row r="177" spans="1:3" ht="39" hidden="1" customHeight="1">
      <c r="A177" s="1556" t="str">
        <f>IF($A$176="Yes","Answer Required","N/A")</f>
        <v>N/A</v>
      </c>
      <c r="B177" s="1557"/>
      <c r="C177" s="1558"/>
    </row>
    <row r="178" spans="1:3" ht="119.45" hidden="1" customHeight="1">
      <c r="A178" s="1552" t="s">
        <v>1316</v>
      </c>
      <c r="B178" s="1553"/>
      <c r="C178" s="1554"/>
    </row>
    <row r="179" spans="1:3" ht="39" hidden="1" customHeight="1">
      <c r="A179" s="268" t="s">
        <v>752</v>
      </c>
      <c r="B179" s="386" t="s">
        <v>891</v>
      </c>
      <c r="C179" s="361"/>
    </row>
    <row r="180" spans="1:3" ht="39" hidden="1" customHeight="1">
      <c r="A180" s="1556" t="str">
        <f>IF($A$179="Yes","Answer Required","N/A")</f>
        <v>N/A</v>
      </c>
      <c r="B180" s="1557"/>
      <c r="C180" s="1558"/>
    </row>
    <row r="181" spans="1:3" ht="39" hidden="1" customHeight="1">
      <c r="A181" s="1552" t="s">
        <v>1052</v>
      </c>
      <c r="B181" s="1553"/>
      <c r="C181" s="1554"/>
    </row>
    <row r="182" spans="1:3" ht="39" hidden="1" customHeight="1">
      <c r="A182" s="268" t="s">
        <v>752</v>
      </c>
      <c r="B182" s="386" t="s">
        <v>892</v>
      </c>
      <c r="C182" s="361"/>
    </row>
    <row r="183" spans="1:3" ht="39" hidden="1" customHeight="1">
      <c r="A183" s="1556" t="str">
        <f>IF($A$182="Yes","Answer Required","N/A")</f>
        <v>N/A</v>
      </c>
      <c r="B183" s="1557"/>
      <c r="C183" s="1558"/>
    </row>
    <row r="184" spans="1:3" ht="27.75" hidden="1" customHeight="1">
      <c r="A184" s="1552" t="s">
        <v>876</v>
      </c>
      <c r="B184" s="1553"/>
      <c r="C184" s="1554"/>
    </row>
    <row r="185" spans="1:3" ht="39" hidden="1" customHeight="1">
      <c r="A185" s="268"/>
      <c r="B185" s="386" t="s">
        <v>893</v>
      </c>
      <c r="C185" s="429"/>
    </row>
    <row r="186" spans="1:3" ht="39" hidden="1" customHeight="1">
      <c r="A186" s="1556" t="str">
        <f>IF($A$185="Yes","Answer Required","N/A")</f>
        <v>N/A</v>
      </c>
      <c r="B186" s="1557"/>
      <c r="C186" s="1558"/>
    </row>
    <row r="187" spans="1:3" ht="15" customHeight="1">
      <c r="A187" s="426"/>
      <c r="B187" s="426"/>
      <c r="C187" s="279"/>
    </row>
    <row r="188" spans="1:3" ht="15" customHeight="1">
      <c r="A188" s="1555" t="s">
        <v>1109</v>
      </c>
      <c r="B188" s="1555"/>
      <c r="C188" s="1555"/>
    </row>
    <row r="189" spans="1:3" hidden="1">
      <c r="A189" s="48" t="s">
        <v>527</v>
      </c>
    </row>
    <row r="190" spans="1:3" hidden="1">
      <c r="A190" s="48" t="s">
        <v>652</v>
      </c>
    </row>
    <row r="191" spans="1:3" hidden="1">
      <c r="A191" s="48" t="s">
        <v>231</v>
      </c>
    </row>
    <row r="192" spans="1:3" ht="15" hidden="1" customHeight="1">
      <c r="A192" s="1555" t="s">
        <v>992</v>
      </c>
      <c r="B192" s="1555"/>
      <c r="C192" s="1555"/>
    </row>
    <row r="193" spans="1:8" ht="189" hidden="1" customHeight="1">
      <c r="A193" s="1544"/>
      <c r="B193" s="1545"/>
      <c r="C193" s="1546"/>
    </row>
    <row r="194" spans="1:8" ht="127.5" hidden="1" customHeight="1">
      <c r="A194" s="1547" t="s">
        <v>1065</v>
      </c>
      <c r="B194" s="1548"/>
      <c r="C194" s="1549"/>
      <c r="F194" s="1488"/>
      <c r="G194" s="1488"/>
      <c r="H194" s="1488"/>
    </row>
    <row r="195" spans="1:8" ht="38.25" hidden="1" customHeight="1">
      <c r="A195" s="1547" t="s">
        <v>917</v>
      </c>
      <c r="B195" s="1548"/>
      <c r="C195" s="1549"/>
      <c r="F195" s="1488"/>
      <c r="G195" s="1488"/>
      <c r="H195" s="1488"/>
    </row>
    <row r="196" spans="1:8" ht="42.75" hidden="1" customHeight="1">
      <c r="A196" s="1547" t="s">
        <v>962</v>
      </c>
      <c r="B196" s="1548"/>
      <c r="C196" s="1549"/>
    </row>
    <row r="197" spans="1:8" ht="11.25" hidden="1" customHeight="1">
      <c r="A197" s="318"/>
      <c r="B197" s="319"/>
      <c r="C197" s="320"/>
    </row>
    <row r="198" spans="1:8" ht="63.75" customHeight="1">
      <c r="A198" s="268" t="s">
        <v>752</v>
      </c>
      <c r="B198" s="307">
        <v>11</v>
      </c>
      <c r="C198" s="383" t="s">
        <v>1840</v>
      </c>
    </row>
    <row r="199" spans="1:8" ht="25.5" customHeight="1">
      <c r="A199" s="1550"/>
      <c r="B199" s="1551"/>
      <c r="C199" s="751" t="str">
        <f>IF($A$198="Yes","Answer Required","N/A")</f>
        <v>N/A</v>
      </c>
    </row>
    <row r="200" spans="1:8" hidden="1">
      <c r="A200" s="268"/>
      <c r="B200" s="269" t="s">
        <v>782</v>
      </c>
      <c r="C200" s="294" t="s">
        <v>211</v>
      </c>
    </row>
    <row r="201" spans="1:8" hidden="1">
      <c r="A201" s="268"/>
      <c r="B201" s="269" t="s">
        <v>782</v>
      </c>
      <c r="C201" s="294" t="s">
        <v>212</v>
      </c>
    </row>
    <row r="202" spans="1:8" ht="24" hidden="1">
      <c r="A202" s="268"/>
      <c r="B202" s="269" t="s">
        <v>782</v>
      </c>
      <c r="C202" s="294" t="s">
        <v>950</v>
      </c>
    </row>
    <row r="203" spans="1:8" hidden="1">
      <c r="A203" s="268"/>
      <c r="B203" s="269" t="s">
        <v>782</v>
      </c>
      <c r="C203" s="294" t="s">
        <v>214</v>
      </c>
    </row>
    <row r="204" spans="1:8" hidden="1">
      <c r="A204" s="443"/>
      <c r="B204" s="285"/>
      <c r="C204" s="277"/>
    </row>
    <row r="205" spans="1:8" ht="36" hidden="1">
      <c r="A205" s="268"/>
      <c r="B205" s="269" t="s">
        <v>783</v>
      </c>
      <c r="C205" s="323" t="s">
        <v>1040</v>
      </c>
    </row>
    <row r="206" spans="1:8" hidden="1">
      <c r="A206" s="443"/>
      <c r="B206" s="285"/>
      <c r="C206" s="277"/>
    </row>
    <row r="207" spans="1:8" ht="28.5" hidden="1" customHeight="1">
      <c r="A207" s="268"/>
      <c r="B207" s="269" t="s">
        <v>783</v>
      </c>
      <c r="C207" s="383" t="s">
        <v>1041</v>
      </c>
    </row>
    <row r="208" spans="1:8" ht="40.5" hidden="1" customHeight="1">
      <c r="A208" s="268"/>
      <c r="B208" s="269" t="s">
        <v>783</v>
      </c>
      <c r="C208" s="315" t="s">
        <v>1042</v>
      </c>
    </row>
    <row r="209" spans="1:3" ht="19.5" hidden="1" customHeight="1">
      <c r="A209" s="443"/>
      <c r="B209" s="285"/>
      <c r="C209" s="277"/>
    </row>
    <row r="210" spans="1:3" ht="50.25" hidden="1" customHeight="1">
      <c r="A210" s="268"/>
      <c r="B210" s="269" t="s">
        <v>784</v>
      </c>
      <c r="C210" s="315" t="s">
        <v>1043</v>
      </c>
    </row>
    <row r="211" spans="1:3" hidden="1">
      <c r="A211" s="1550"/>
      <c r="B211" s="1551"/>
      <c r="C211" s="444" t="s">
        <v>67</v>
      </c>
    </row>
    <row r="212" spans="1:3" hidden="1">
      <c r="A212" s="268"/>
      <c r="B212" s="269" t="s">
        <v>784</v>
      </c>
      <c r="C212" s="294" t="s">
        <v>848</v>
      </c>
    </row>
    <row r="213" spans="1:3" hidden="1">
      <c r="A213" s="268"/>
      <c r="B213" s="269" t="s">
        <v>784</v>
      </c>
      <c r="C213" s="294" t="s">
        <v>212</v>
      </c>
    </row>
    <row r="214" spans="1:3" hidden="1">
      <c r="A214" s="268"/>
      <c r="B214" s="269" t="s">
        <v>784</v>
      </c>
      <c r="C214" s="294" t="s">
        <v>213</v>
      </c>
    </row>
    <row r="215" spans="1:3" hidden="1">
      <c r="A215" s="268"/>
      <c r="B215" s="269" t="s">
        <v>784</v>
      </c>
      <c r="C215" s="294" t="s">
        <v>215</v>
      </c>
    </row>
    <row r="216" spans="1:3" hidden="1">
      <c r="A216" s="443"/>
      <c r="B216" s="285"/>
      <c r="C216" s="277"/>
    </row>
    <row r="217" spans="1:3" ht="36.75" hidden="1" customHeight="1">
      <c r="A217" s="268"/>
      <c r="B217" s="269" t="s">
        <v>784</v>
      </c>
      <c r="C217" s="271" t="s">
        <v>1044</v>
      </c>
    </row>
    <row r="218" spans="1:3" hidden="1">
      <c r="A218" s="1543" t="s">
        <v>697</v>
      </c>
      <c r="B218" s="1543"/>
      <c r="C218" s="280"/>
    </row>
    <row r="219" spans="1:3" hidden="1">
      <c r="A219" s="1543" t="s">
        <v>319</v>
      </c>
      <c r="B219" s="1543"/>
      <c r="C219" s="295"/>
    </row>
    <row r="220" spans="1:3" hidden="1">
      <c r="A220" s="1543" t="s">
        <v>216</v>
      </c>
      <c r="B220" s="1543"/>
      <c r="C220" s="277"/>
    </row>
    <row r="221" spans="1:3" ht="37.5" hidden="1" customHeight="1">
      <c r="A221" s="1543" t="s">
        <v>1045</v>
      </c>
      <c r="B221" s="1543"/>
      <c r="C221" s="296"/>
    </row>
    <row r="222" spans="1:3" ht="27.75" hidden="1" customHeight="1">
      <c r="A222" s="268"/>
      <c r="B222" s="269" t="s">
        <v>784</v>
      </c>
      <c r="C222" s="297" t="s">
        <v>661</v>
      </c>
    </row>
    <row r="223" spans="1:3" hidden="1">
      <c r="A223" s="443"/>
      <c r="B223" s="285"/>
      <c r="C223" s="277"/>
    </row>
    <row r="224" spans="1:3" ht="39" hidden="1" customHeight="1">
      <c r="A224" s="268"/>
      <c r="B224" s="269" t="s">
        <v>785</v>
      </c>
      <c r="C224" s="293" t="s">
        <v>1046</v>
      </c>
    </row>
    <row r="225" spans="1:10" ht="18" hidden="1" customHeight="1">
      <c r="A225" s="443"/>
      <c r="B225" s="285"/>
      <c r="C225" s="277"/>
    </row>
    <row r="226" spans="1:10" hidden="1">
      <c r="A226" s="407"/>
      <c r="B226" s="269"/>
      <c r="C226" s="293"/>
    </row>
    <row r="227" spans="1:10" hidden="1">
      <c r="A227" s="443"/>
      <c r="B227" s="285"/>
      <c r="C227" s="408"/>
    </row>
    <row r="228" spans="1:10" ht="36" hidden="1">
      <c r="A228" s="268"/>
      <c r="B228" s="269" t="s">
        <v>786</v>
      </c>
      <c r="C228" s="323" t="s">
        <v>1047</v>
      </c>
    </row>
    <row r="229" spans="1:10" ht="52.5" hidden="1" customHeight="1">
      <c r="A229" s="1540" t="s">
        <v>1048</v>
      </c>
      <c r="B229" s="1541"/>
      <c r="C229" s="1542"/>
    </row>
    <row r="230" spans="1:10" hidden="1">
      <c r="A230" s="443"/>
      <c r="B230" s="285"/>
      <c r="C230" s="451"/>
    </row>
    <row r="231" spans="1:10" ht="27" hidden="1" customHeight="1">
      <c r="A231" s="268"/>
      <c r="B231" s="269" t="s">
        <v>787</v>
      </c>
      <c r="C231" s="383" t="s">
        <v>1049</v>
      </c>
    </row>
    <row r="232" spans="1:10" hidden="1">
      <c r="A232" s="443"/>
      <c r="B232" s="285"/>
      <c r="C232" s="408"/>
    </row>
    <row r="233" spans="1:10" hidden="1">
      <c r="A233" s="407"/>
      <c r="B233" s="269"/>
      <c r="C233" s="293"/>
    </row>
    <row r="234" spans="1:10" hidden="1">
      <c r="A234" s="278"/>
      <c r="B234" s="279"/>
      <c r="C234" s="408"/>
    </row>
    <row r="235" spans="1:10" hidden="1">
      <c r="A235" s="394"/>
      <c r="B235" s="279"/>
      <c r="C235" s="356"/>
    </row>
    <row r="236" spans="1:10" hidden="1">
      <c r="A236" s="394"/>
      <c r="B236" s="279"/>
      <c r="C236" s="451"/>
    </row>
    <row r="237" spans="1:10" hidden="1">
      <c r="A237" s="394"/>
      <c r="B237" s="279"/>
      <c r="C237" s="279"/>
    </row>
    <row r="238" spans="1:10" ht="36" hidden="1">
      <c r="A238" s="432"/>
      <c r="B238" s="452" t="s">
        <v>858</v>
      </c>
      <c r="C238" s="433" t="s">
        <v>1436</v>
      </c>
      <c r="G238" s="19"/>
      <c r="H238" s="19"/>
      <c r="I238" s="453"/>
      <c r="J238" s="449"/>
    </row>
    <row r="239" spans="1:10" ht="30" hidden="1" customHeight="1">
      <c r="A239" s="454" t="str">
        <f>IF(A238="yes","Go to DOA's website and complete supplemental item 1","")</f>
        <v/>
      </c>
      <c r="B239" s="454"/>
      <c r="C239" s="434"/>
      <c r="G239" s="19"/>
      <c r="H239" s="19"/>
      <c r="I239" s="453"/>
      <c r="J239" s="449"/>
    </row>
    <row r="240" spans="1:10" ht="24" hidden="1">
      <c r="A240" s="432"/>
      <c r="B240" s="452" t="s">
        <v>859</v>
      </c>
      <c r="C240" s="286" t="s">
        <v>870</v>
      </c>
      <c r="G240" s="19"/>
      <c r="H240" s="19"/>
      <c r="I240" s="453"/>
      <c r="J240" s="449"/>
    </row>
    <row r="241" spans="1:10" ht="21" hidden="1" customHeight="1">
      <c r="A241" s="454"/>
      <c r="B241" s="454"/>
      <c r="C241" s="356"/>
      <c r="G241" s="19"/>
      <c r="H241" s="19"/>
      <c r="I241" s="453"/>
      <c r="J241" s="449"/>
    </row>
    <row r="242" spans="1:10" ht="12.75" hidden="1">
      <c r="A242" s="454"/>
      <c r="B242" s="454"/>
      <c r="C242" s="454"/>
      <c r="G242" s="19"/>
      <c r="H242" s="19"/>
      <c r="I242" s="437"/>
      <c r="J242" s="239"/>
    </row>
    <row r="243" spans="1:10" ht="39" hidden="1" customHeight="1">
      <c r="A243" s="432"/>
      <c r="C243" s="433" t="s">
        <v>1050</v>
      </c>
      <c r="G243" s="19"/>
      <c r="H243" s="19"/>
      <c r="I243" s="234"/>
      <c r="J243" s="2"/>
    </row>
    <row r="244" spans="1:10" ht="12.75" hidden="1">
      <c r="A244" s="268"/>
      <c r="B244" s="452" t="s">
        <v>860</v>
      </c>
      <c r="C244" s="435" t="s">
        <v>851</v>
      </c>
      <c r="G244" s="1490"/>
      <c r="H244" s="1490"/>
      <c r="I244" s="1490"/>
      <c r="J244" s="449"/>
    </row>
    <row r="245" spans="1:10" ht="12.75" hidden="1">
      <c r="A245" s="268"/>
      <c r="B245" s="455" t="s">
        <v>861</v>
      </c>
      <c r="C245" s="435" t="s">
        <v>852</v>
      </c>
      <c r="G245" s="1490"/>
      <c r="H245" s="1490"/>
      <c r="I245" s="1490"/>
      <c r="J245" s="449"/>
    </row>
    <row r="246" spans="1:10" ht="12.75" hidden="1">
      <c r="A246" s="268"/>
      <c r="B246" s="455" t="s">
        <v>862</v>
      </c>
      <c r="C246" s="435" t="s">
        <v>853</v>
      </c>
      <c r="G246" s="1490"/>
      <c r="H246" s="1490"/>
      <c r="I246" s="1490"/>
      <c r="J246" s="449"/>
    </row>
    <row r="247" spans="1:10" ht="12.75" hidden="1">
      <c r="A247" s="268"/>
      <c r="B247" s="455" t="s">
        <v>863</v>
      </c>
      <c r="C247" s="435" t="s">
        <v>854</v>
      </c>
      <c r="F247" s="47"/>
      <c r="G247" s="438"/>
      <c r="H247" s="438"/>
      <c r="I247" s="439"/>
      <c r="J247" s="239"/>
    </row>
    <row r="248" spans="1:10" ht="12.75" hidden="1">
      <c r="A248" s="268"/>
      <c r="B248" s="455" t="s">
        <v>864</v>
      </c>
      <c r="C248" s="435" t="s">
        <v>855</v>
      </c>
      <c r="F248" s="47"/>
      <c r="G248" s="438"/>
      <c r="H248" s="438"/>
      <c r="I248" s="437"/>
      <c r="J248" s="239"/>
    </row>
    <row r="249" spans="1:10" hidden="1">
      <c r="A249" s="268"/>
      <c r="B249" s="455" t="s">
        <v>865</v>
      </c>
      <c r="C249" s="435" t="s">
        <v>856</v>
      </c>
    </row>
    <row r="250" spans="1:10" hidden="1">
      <c r="A250" s="268"/>
      <c r="B250" s="452" t="s">
        <v>866</v>
      </c>
      <c r="C250" s="436" t="s">
        <v>857</v>
      </c>
    </row>
    <row r="251" spans="1:10" ht="25.5" hidden="1" customHeight="1">
      <c r="A251" s="454"/>
      <c r="B251" s="454"/>
      <c r="C251" s="434"/>
      <c r="F251" s="1491"/>
      <c r="G251" s="1491"/>
      <c r="H251" s="1491"/>
      <c r="I251" s="1491"/>
      <c r="J251" s="1491"/>
    </row>
    <row r="252" spans="1:10" ht="36" hidden="1">
      <c r="A252" s="432"/>
      <c r="C252" s="433" t="s">
        <v>1051</v>
      </c>
      <c r="F252" s="445"/>
      <c r="G252" s="446"/>
      <c r="H252" s="447"/>
      <c r="I252" s="447"/>
      <c r="J252" s="445"/>
    </row>
    <row r="253" spans="1:10" ht="12.75" hidden="1">
      <c r="A253" s="268"/>
      <c r="B253" s="452" t="s">
        <v>867</v>
      </c>
      <c r="C253" s="435" t="s">
        <v>851</v>
      </c>
      <c r="F253" s="448"/>
      <c r="G253" s="449"/>
      <c r="H253" s="449"/>
      <c r="I253" s="449"/>
      <c r="J253" s="239"/>
    </row>
    <row r="254" spans="1:10" ht="12.75" hidden="1">
      <c r="A254" s="268"/>
      <c r="B254" s="455" t="s">
        <v>868</v>
      </c>
      <c r="C254" s="435" t="s">
        <v>852</v>
      </c>
      <c r="F254" s="448"/>
      <c r="G254" s="449"/>
      <c r="H254" s="449"/>
      <c r="I254" s="449"/>
      <c r="J254" s="239"/>
    </row>
    <row r="255" spans="1:10" ht="12.75" hidden="1">
      <c r="A255" s="268"/>
      <c r="B255" s="455" t="s">
        <v>869</v>
      </c>
      <c r="C255" s="435" t="s">
        <v>857</v>
      </c>
      <c r="F255" s="448"/>
      <c r="G255" s="449"/>
      <c r="H255" s="449"/>
      <c r="I255" s="449"/>
      <c r="J255" s="239"/>
    </row>
    <row r="256" spans="1:10" ht="19.5" hidden="1" customHeight="1">
      <c r="A256" s="454"/>
      <c r="B256" s="454"/>
      <c r="C256" s="434"/>
      <c r="F256" s="448"/>
      <c r="G256" s="449"/>
      <c r="H256" s="449"/>
      <c r="I256" s="449"/>
      <c r="J256" s="239"/>
    </row>
    <row r="257" spans="1:10" ht="12.75">
      <c r="A257" s="394"/>
      <c r="B257" s="279"/>
      <c r="C257" s="279"/>
      <c r="F257" s="448"/>
      <c r="G257" s="449"/>
      <c r="H257" s="449"/>
      <c r="I257" s="449"/>
      <c r="J257" s="239"/>
    </row>
    <row r="258" spans="1:10" s="357" customFormat="1" ht="11.25" customHeight="1">
      <c r="A258" s="458"/>
      <c r="B258" s="459"/>
      <c r="C258" s="459"/>
      <c r="F258" s="448"/>
      <c r="G258" s="449"/>
      <c r="H258" s="449"/>
      <c r="I258" s="449"/>
      <c r="J258" s="239"/>
    </row>
    <row r="259" spans="1:10" s="422" customFormat="1" ht="17.25" hidden="1" customHeight="1">
      <c r="A259" s="1507" t="s">
        <v>1490</v>
      </c>
      <c r="B259" s="1508"/>
      <c r="C259" s="1508"/>
      <c r="F259" s="861"/>
      <c r="G259" s="862"/>
      <c r="H259" s="862"/>
      <c r="I259" s="862"/>
      <c r="J259" s="863"/>
    </row>
    <row r="260" spans="1:10" s="422" customFormat="1" ht="72" hidden="1" customHeight="1">
      <c r="A260" s="1580" t="s">
        <v>1491</v>
      </c>
      <c r="B260" s="1581"/>
      <c r="C260" s="1582"/>
      <c r="F260" s="861"/>
      <c r="G260" s="862"/>
      <c r="H260" s="862"/>
      <c r="I260" s="862"/>
      <c r="J260" s="863"/>
    </row>
    <row r="261" spans="1:10" s="422" customFormat="1" ht="48" hidden="1">
      <c r="A261" s="864" t="s">
        <v>752</v>
      </c>
      <c r="B261" s="865">
        <v>12</v>
      </c>
      <c r="C261" s="866" t="s">
        <v>1492</v>
      </c>
      <c r="F261" s="861"/>
      <c r="G261" s="862"/>
      <c r="H261" s="862"/>
      <c r="I261" s="862"/>
      <c r="J261" s="863"/>
    </row>
    <row r="262" spans="1:10" s="422" customFormat="1" ht="27" hidden="1" customHeight="1">
      <c r="A262" s="867" t="str">
        <f>IF($A$261="yes","Answer Required","N/A")</f>
        <v>N/A</v>
      </c>
      <c r="B262" s="865" t="s">
        <v>799</v>
      </c>
      <c r="C262" s="868" t="s">
        <v>1493</v>
      </c>
      <c r="F262" s="861"/>
      <c r="G262" s="862"/>
      <c r="H262" s="862"/>
      <c r="I262" s="862"/>
      <c r="J262" s="863"/>
    </row>
    <row r="263" spans="1:10" s="422" customFormat="1" ht="27" hidden="1" customHeight="1">
      <c r="A263" s="867" t="str">
        <f>IF($A$262="yes","Answer Required","N/A")</f>
        <v>N/A</v>
      </c>
      <c r="B263" s="865" t="s">
        <v>800</v>
      </c>
      <c r="C263" s="868" t="s">
        <v>1494</v>
      </c>
      <c r="F263" s="861"/>
      <c r="G263" s="862"/>
      <c r="H263" s="862"/>
      <c r="I263" s="862"/>
      <c r="J263" s="863"/>
    </row>
    <row r="264" spans="1:10" s="422" customFormat="1" ht="24" hidden="1">
      <c r="A264" s="867" t="str">
        <f>IF($A$263="yes","Answer Required","N/A")</f>
        <v>N/A</v>
      </c>
      <c r="B264" s="865" t="s">
        <v>834</v>
      </c>
      <c r="C264" s="868" t="s">
        <v>1495</v>
      </c>
      <c r="F264" s="861"/>
      <c r="G264" s="862"/>
      <c r="H264" s="862"/>
      <c r="I264" s="862"/>
      <c r="J264" s="863"/>
    </row>
    <row r="265" spans="1:10" s="422" customFormat="1" ht="21" hidden="1" customHeight="1">
      <c r="A265" s="864" t="s">
        <v>752</v>
      </c>
      <c r="B265" s="865" t="s">
        <v>835</v>
      </c>
      <c r="C265" s="868" t="s">
        <v>788</v>
      </c>
      <c r="F265" s="861"/>
      <c r="G265" s="862"/>
      <c r="H265" s="862"/>
      <c r="I265" s="862"/>
      <c r="J265" s="863"/>
    </row>
    <row r="266" spans="1:10" s="422" customFormat="1" ht="39" hidden="1" customHeight="1">
      <c r="A266" s="867" t="str">
        <f>IF(COUNTIF(A261:A264,"yes")&gt;3,"Answer Required","N/A")</f>
        <v>N/A</v>
      </c>
      <c r="B266" s="865" t="s">
        <v>836</v>
      </c>
      <c r="C266" s="868" t="s">
        <v>1496</v>
      </c>
      <c r="F266" s="861"/>
      <c r="G266" s="862"/>
      <c r="H266" s="862"/>
      <c r="I266" s="862"/>
      <c r="J266" s="863"/>
    </row>
    <row r="267" spans="1:10" s="422" customFormat="1" ht="78" hidden="1" customHeight="1">
      <c r="B267" s="869"/>
      <c r="C267" s="868" t="s">
        <v>1497</v>
      </c>
      <c r="F267" s="861"/>
      <c r="G267" s="862"/>
      <c r="H267" s="862"/>
      <c r="I267" s="862"/>
      <c r="J267" s="863"/>
    </row>
    <row r="268" spans="1:10" s="422" customFormat="1" ht="24.75" hidden="1" customHeight="1">
      <c r="A268" s="870"/>
      <c r="B268" s="871"/>
      <c r="C268" s="872" t="str">
        <f>IF(A261="Yes","Answer Required","N/A")</f>
        <v>N/A</v>
      </c>
      <c r="F268" s="861"/>
      <c r="G268" s="862"/>
      <c r="H268" s="862"/>
      <c r="I268" s="862"/>
      <c r="J268" s="863"/>
    </row>
    <row r="269" spans="1:10" s="422" customFormat="1" ht="51" hidden="1" customHeight="1">
      <c r="A269" s="864" t="s">
        <v>752</v>
      </c>
      <c r="B269" s="865" t="s">
        <v>837</v>
      </c>
      <c r="C269" s="866" t="s">
        <v>1498</v>
      </c>
      <c r="F269" s="861"/>
      <c r="G269" s="862"/>
      <c r="H269" s="862"/>
      <c r="I269" s="862"/>
      <c r="J269" s="863"/>
    </row>
    <row r="270" spans="1:10" s="422" customFormat="1" ht="24" hidden="1">
      <c r="A270" s="867" t="str">
        <f>IF($A269="yes","Answer Required","N/A")</f>
        <v>N/A</v>
      </c>
      <c r="B270" s="865" t="s">
        <v>838</v>
      </c>
      <c r="C270" s="868" t="s">
        <v>1499</v>
      </c>
      <c r="F270" s="861"/>
      <c r="G270" s="862"/>
      <c r="H270" s="862"/>
      <c r="I270" s="862"/>
      <c r="J270" s="863"/>
    </row>
    <row r="271" spans="1:10" s="422" customFormat="1" ht="26.25" hidden="1" customHeight="1">
      <c r="A271" s="867" t="str">
        <f t="shared" ref="A271:A272" si="0">IF($A270="yes","Answer Required","N/A")</f>
        <v>N/A</v>
      </c>
      <c r="B271" s="865" t="s">
        <v>839</v>
      </c>
      <c r="C271" s="868" t="s">
        <v>1500</v>
      </c>
      <c r="F271" s="861"/>
      <c r="G271" s="862"/>
      <c r="H271" s="862"/>
      <c r="I271" s="862"/>
      <c r="J271" s="863"/>
    </row>
    <row r="272" spans="1:10" s="422" customFormat="1" ht="20.25" hidden="1" customHeight="1">
      <c r="A272" s="867" t="str">
        <f t="shared" si="0"/>
        <v>N/A</v>
      </c>
      <c r="B272" s="865" t="s">
        <v>840</v>
      </c>
      <c r="C272" s="868" t="s">
        <v>1501</v>
      </c>
      <c r="F272" s="861"/>
      <c r="G272" s="862"/>
      <c r="H272" s="862"/>
      <c r="I272" s="862"/>
      <c r="J272" s="863"/>
    </row>
    <row r="273" spans="1:10" s="422" customFormat="1" ht="24" hidden="1" customHeight="1">
      <c r="A273" s="864" t="s">
        <v>752</v>
      </c>
      <c r="B273" s="865" t="s">
        <v>841</v>
      </c>
      <c r="C273" s="868" t="s">
        <v>789</v>
      </c>
      <c r="F273" s="861"/>
      <c r="G273" s="862"/>
      <c r="H273" s="862"/>
      <c r="I273" s="862"/>
      <c r="J273" s="863"/>
    </row>
    <row r="274" spans="1:10" s="422" customFormat="1" ht="39" hidden="1" customHeight="1">
      <c r="A274" s="867" t="str">
        <f>IF(COUNTIF(A269:A272,"yes")&gt;0,"Answer Required","N/A")</f>
        <v>N/A</v>
      </c>
      <c r="B274" s="865" t="s">
        <v>842</v>
      </c>
      <c r="C274" s="868" t="s">
        <v>1502</v>
      </c>
      <c r="F274" s="861"/>
      <c r="G274" s="862"/>
      <c r="H274" s="862"/>
      <c r="I274" s="862"/>
      <c r="J274" s="863"/>
    </row>
    <row r="275" spans="1:10" s="422" customFormat="1" ht="72.75" hidden="1" customHeight="1">
      <c r="B275" s="873"/>
      <c r="C275" s="868" t="s">
        <v>1503</v>
      </c>
      <c r="F275" s="861"/>
      <c r="G275" s="862"/>
      <c r="H275" s="862"/>
      <c r="I275" s="862"/>
      <c r="J275" s="863"/>
    </row>
    <row r="276" spans="1:10" s="422" customFormat="1" ht="21.75" hidden="1" customHeight="1">
      <c r="A276" s="874"/>
      <c r="B276" s="875"/>
      <c r="C276" s="876" t="str">
        <f>IF(COUNTIF(A269:A272,"yes")&gt;3,"Answer Required",IF(A273="Yes","Answer Required","N/A"))</f>
        <v>N/A</v>
      </c>
      <c r="F276" s="861"/>
      <c r="G276" s="862"/>
      <c r="H276" s="862"/>
      <c r="I276" s="862"/>
      <c r="J276" s="863"/>
    </row>
    <row r="277" spans="1:10" s="422" customFormat="1" ht="12.75" hidden="1">
      <c r="A277" s="874"/>
      <c r="B277" s="874"/>
      <c r="C277" s="870"/>
      <c r="F277" s="861"/>
      <c r="G277" s="862"/>
      <c r="H277" s="862"/>
      <c r="I277" s="862"/>
      <c r="J277" s="863"/>
    </row>
    <row r="278" spans="1:10" s="422" customFormat="1" ht="12.75" hidden="1">
      <c r="A278" s="874"/>
      <c r="B278" s="874"/>
      <c r="C278" s="870"/>
      <c r="F278" s="861"/>
      <c r="G278" s="862"/>
      <c r="H278" s="862"/>
      <c r="I278" s="862"/>
      <c r="J278" s="863"/>
    </row>
    <row r="279" spans="1:10" s="422" customFormat="1" ht="12.75" hidden="1">
      <c r="A279" s="1508" t="s">
        <v>1504</v>
      </c>
      <c r="B279" s="1508"/>
      <c r="C279" s="1508"/>
      <c r="F279" s="861"/>
      <c r="G279" s="862"/>
      <c r="H279" s="862"/>
      <c r="I279" s="862"/>
      <c r="J279" s="863"/>
    </row>
    <row r="280" spans="1:10" s="422" customFormat="1" ht="12.75" hidden="1">
      <c r="A280" s="1583" t="s">
        <v>1505</v>
      </c>
      <c r="B280" s="1581"/>
      <c r="C280" s="1582"/>
      <c r="F280" s="861"/>
      <c r="G280" s="862"/>
      <c r="H280" s="862"/>
      <c r="I280" s="862"/>
      <c r="J280" s="863"/>
    </row>
    <row r="281" spans="1:10" s="422" customFormat="1" ht="42.75" hidden="1" customHeight="1">
      <c r="A281" s="1500" t="s">
        <v>1506</v>
      </c>
      <c r="B281" s="1584"/>
      <c r="C281" s="1585"/>
      <c r="F281" s="861"/>
      <c r="G281" s="862"/>
      <c r="H281" s="862"/>
      <c r="I281" s="862"/>
      <c r="J281" s="863"/>
    </row>
    <row r="282" spans="1:10" s="422" customFormat="1" ht="37.5" hidden="1" customHeight="1">
      <c r="A282" s="864" t="s">
        <v>752</v>
      </c>
      <c r="B282" s="879" t="s">
        <v>918</v>
      </c>
      <c r="C282" s="880" t="str">
        <f>IF(OR(A282="No",A282="Answer Required"),"N/A","Answer Required")</f>
        <v>N/A</v>
      </c>
      <c r="G282" s="862"/>
      <c r="H282" s="862"/>
      <c r="I282" s="862"/>
      <c r="J282" s="863"/>
    </row>
    <row r="283" spans="1:10" s="422" customFormat="1" ht="36" hidden="1" customHeight="1">
      <c r="A283" s="1484"/>
      <c r="B283" s="1586"/>
      <c r="C283" s="1587"/>
      <c r="F283" s="881"/>
      <c r="G283" s="863"/>
      <c r="H283" s="863"/>
      <c r="I283" s="863"/>
      <c r="J283" s="863"/>
    </row>
    <row r="284" spans="1:10" s="422" customFormat="1" ht="84" hidden="1" customHeight="1">
      <c r="A284" s="1492" t="s">
        <v>1507</v>
      </c>
      <c r="B284" s="1493"/>
      <c r="C284" s="1494"/>
      <c r="F284" s="882"/>
      <c r="G284" s="883"/>
      <c r="H284" s="862"/>
      <c r="I284" s="862"/>
      <c r="J284" s="862"/>
    </row>
    <row r="285" spans="1:10" s="422" customFormat="1" ht="60.75" hidden="1" customHeight="1">
      <c r="A285" s="1497" t="s">
        <v>1508</v>
      </c>
      <c r="B285" s="1498"/>
      <c r="C285" s="1499"/>
      <c r="F285" s="882"/>
      <c r="G285" s="885"/>
      <c r="H285" s="862"/>
      <c r="I285" s="862"/>
      <c r="J285" s="862"/>
    </row>
    <row r="286" spans="1:10" s="422" customFormat="1" ht="48" hidden="1" customHeight="1">
      <c r="A286" s="1500" t="s">
        <v>1509</v>
      </c>
      <c r="B286" s="1501"/>
      <c r="C286" s="1502"/>
      <c r="F286" s="874"/>
      <c r="G286" s="874"/>
      <c r="H286" s="874"/>
      <c r="I286" s="874"/>
      <c r="J286" s="874"/>
    </row>
    <row r="287" spans="1:10" s="422" customFormat="1" ht="38.25" hidden="1" customHeight="1">
      <c r="A287" s="864" t="s">
        <v>752</v>
      </c>
      <c r="B287" s="886" t="s">
        <v>919</v>
      </c>
      <c r="C287" s="868" t="s">
        <v>1510</v>
      </c>
      <c r="F287" s="874"/>
      <c r="G287" s="874"/>
      <c r="H287" s="874"/>
      <c r="I287" s="874"/>
      <c r="J287" s="874"/>
    </row>
    <row r="288" spans="1:10" s="422" customFormat="1" ht="38.25" hidden="1" customHeight="1">
      <c r="A288" s="877"/>
      <c r="B288" s="887"/>
      <c r="C288" s="880" t="str">
        <f>IF(A287="Yes","Answer Required","N/A")</f>
        <v>N/A</v>
      </c>
      <c r="F288" s="874"/>
      <c r="G288" s="874"/>
      <c r="H288" s="874"/>
      <c r="I288" s="874"/>
      <c r="J288" s="874"/>
    </row>
    <row r="289" spans="1:10" s="422" customFormat="1" ht="30.75" hidden="1" customHeight="1">
      <c r="A289" s="864" t="str">
        <f>IF(A287="yes","Answer Required","N/A")</f>
        <v>N/A</v>
      </c>
      <c r="B289" s="886" t="s">
        <v>920</v>
      </c>
      <c r="C289" s="868" t="s">
        <v>1511</v>
      </c>
      <c r="F289" s="874"/>
      <c r="G289" s="874"/>
      <c r="H289" s="874"/>
      <c r="I289" s="874"/>
      <c r="J289" s="874"/>
    </row>
    <row r="290" spans="1:10" s="422" customFormat="1" ht="35.25" hidden="1" customHeight="1">
      <c r="A290" s="864" t="str">
        <f>IF(A287="yes","Answer Required","N/A")</f>
        <v>N/A</v>
      </c>
      <c r="B290" s="886" t="s">
        <v>921</v>
      </c>
      <c r="C290" s="868" t="s">
        <v>1512</v>
      </c>
      <c r="F290" s="874"/>
      <c r="G290" s="874"/>
      <c r="H290" s="874"/>
      <c r="I290" s="874"/>
      <c r="J290" s="874"/>
    </row>
    <row r="291" spans="1:10" s="422" customFormat="1" ht="31.5" hidden="1" customHeight="1">
      <c r="A291" s="864" t="str">
        <f>IF(A287="yes","Answer Required","N/A")</f>
        <v>N/A</v>
      </c>
      <c r="B291" s="886" t="s">
        <v>922</v>
      </c>
      <c r="C291" s="888" t="s">
        <v>1513</v>
      </c>
      <c r="F291" s="874"/>
      <c r="G291" s="874"/>
      <c r="H291" s="874"/>
      <c r="I291" s="874"/>
      <c r="J291" s="874"/>
    </row>
    <row r="292" spans="1:10" s="422" customFormat="1" ht="31.5" hidden="1" customHeight="1">
      <c r="A292" s="877"/>
      <c r="B292" s="889"/>
      <c r="C292" s="890" t="str">
        <f>IF(A291="Yes","Answer Required","N/A")</f>
        <v>N/A</v>
      </c>
      <c r="F292" s="874"/>
      <c r="G292" s="874"/>
      <c r="H292" s="874"/>
      <c r="I292" s="874"/>
      <c r="J292" s="874"/>
    </row>
    <row r="293" spans="1:10" s="422" customFormat="1" ht="52.5" hidden="1" customHeight="1">
      <c r="A293" s="864" t="str">
        <f>IF(COUNTIF(A287:A291,"yes")&gt;3,"Answer Required","N/A")</f>
        <v>N/A</v>
      </c>
      <c r="B293" s="886" t="s">
        <v>923</v>
      </c>
      <c r="C293" s="878" t="s">
        <v>1514</v>
      </c>
      <c r="F293" s="874"/>
      <c r="G293" s="891"/>
      <c r="H293" s="892"/>
      <c r="I293" s="892"/>
      <c r="J293" s="893"/>
    </row>
    <row r="294" spans="1:10" s="422" customFormat="1" ht="12.75" hidden="1">
      <c r="A294" s="877"/>
      <c r="B294" s="887"/>
      <c r="C294" s="880" t="str">
        <f>IF(A293="Yes","Answer Required","N/A")</f>
        <v>N/A</v>
      </c>
      <c r="F294" s="874"/>
      <c r="G294" s="891"/>
      <c r="H294" s="892"/>
      <c r="I294" s="892"/>
      <c r="J294" s="893"/>
    </row>
    <row r="295" spans="1:10" s="422" customFormat="1" ht="33" hidden="1" customHeight="1">
      <c r="A295" s="864" t="str">
        <f>IF(A291="yes","Answer Required","N/A")</f>
        <v>N/A</v>
      </c>
      <c r="B295" s="886" t="s">
        <v>924</v>
      </c>
      <c r="C295" s="884" t="s">
        <v>1515</v>
      </c>
      <c r="F295" s="861"/>
      <c r="G295" s="894"/>
      <c r="H295" s="894"/>
      <c r="I295" s="894"/>
      <c r="J295" s="894"/>
    </row>
    <row r="296" spans="1:10" s="422" customFormat="1" ht="31.5" hidden="1" customHeight="1">
      <c r="A296" s="1484" t="str">
        <f>IF(A295="no","Answer Required","N/A")</f>
        <v>N/A</v>
      </c>
      <c r="B296" s="1485"/>
      <c r="C296" s="1486"/>
      <c r="F296" s="861"/>
      <c r="G296" s="894"/>
      <c r="H296" s="894"/>
      <c r="I296" s="894"/>
      <c r="J296" s="894"/>
    </row>
    <row r="297" spans="1:10" s="422" customFormat="1" ht="43.5" hidden="1" customHeight="1">
      <c r="A297" s="1492" t="s">
        <v>1516</v>
      </c>
      <c r="B297" s="1495"/>
      <c r="C297" s="1496"/>
      <c r="F297" s="861"/>
      <c r="G297" s="894"/>
      <c r="H297" s="894"/>
      <c r="I297" s="894"/>
      <c r="J297" s="894"/>
    </row>
    <row r="298" spans="1:10" s="422" customFormat="1" ht="44.25" hidden="1" customHeight="1">
      <c r="A298" s="864" t="s">
        <v>752</v>
      </c>
      <c r="B298" s="886" t="s">
        <v>925</v>
      </c>
      <c r="C298" s="868" t="s">
        <v>1517</v>
      </c>
      <c r="F298" s="861"/>
      <c r="G298" s="894"/>
      <c r="H298" s="894"/>
      <c r="I298" s="894"/>
      <c r="J298" s="894"/>
    </row>
    <row r="299" spans="1:10" s="422" customFormat="1" ht="12.75" hidden="1">
      <c r="A299" s="877"/>
      <c r="B299" s="887"/>
      <c r="C299" s="880" t="str">
        <f>IF(A298="Yes","Answer Required","N/A")</f>
        <v>N/A</v>
      </c>
      <c r="F299" s="861"/>
      <c r="G299" s="894"/>
      <c r="H299" s="894"/>
      <c r="I299" s="894"/>
      <c r="J299" s="894"/>
    </row>
    <row r="300" spans="1:10" s="422" customFormat="1" ht="33" hidden="1" customHeight="1">
      <c r="A300" s="864" t="str">
        <f>IF(A298="yes","Answer Required","N/A")</f>
        <v>N/A</v>
      </c>
      <c r="B300" s="886" t="s">
        <v>926</v>
      </c>
      <c r="C300" s="868" t="s">
        <v>1317</v>
      </c>
      <c r="F300" s="861"/>
      <c r="G300" s="894"/>
      <c r="H300" s="894"/>
      <c r="I300" s="894"/>
      <c r="J300" s="894"/>
    </row>
    <row r="301" spans="1:10" s="422" customFormat="1" ht="12.75" hidden="1">
      <c r="A301" s="877"/>
      <c r="B301" s="887"/>
      <c r="C301" s="890" t="str">
        <f>IF(A300="Yes","Answer Required","N/A")</f>
        <v>N/A</v>
      </c>
      <c r="F301" s="861"/>
      <c r="G301" s="894"/>
      <c r="H301" s="894"/>
      <c r="I301" s="894"/>
      <c r="J301" s="894"/>
    </row>
    <row r="302" spans="1:10" s="422" customFormat="1" ht="24" hidden="1">
      <c r="A302" s="864" t="str">
        <f>IF(A300="yes","Answer Required","N/A")</f>
        <v>N/A</v>
      </c>
      <c r="B302" s="886" t="s">
        <v>927</v>
      </c>
      <c r="C302" s="868" t="s">
        <v>1518</v>
      </c>
      <c r="F302" s="861"/>
      <c r="G302" s="894"/>
      <c r="H302" s="894"/>
      <c r="I302" s="894"/>
      <c r="J302" s="894"/>
    </row>
    <row r="303" spans="1:10" s="422" customFormat="1" ht="40.5" hidden="1" customHeight="1">
      <c r="A303" s="1484" t="str">
        <f>IF(A302="no","Answer Required","N/A")</f>
        <v>N/A</v>
      </c>
      <c r="B303" s="1485"/>
      <c r="C303" s="1486"/>
      <c r="F303" s="861"/>
      <c r="G303" s="894"/>
      <c r="H303" s="894"/>
      <c r="I303" s="894"/>
      <c r="J303" s="894"/>
    </row>
    <row r="304" spans="1:10" s="422" customFormat="1" ht="12.75" hidden="1">
      <c r="A304" s="874"/>
      <c r="B304" s="874"/>
      <c r="C304" s="870"/>
      <c r="F304" s="861"/>
      <c r="G304" s="894"/>
      <c r="H304" s="894"/>
      <c r="I304" s="894"/>
      <c r="J304" s="894"/>
    </row>
    <row r="305" spans="1:10" ht="324.75" hidden="1" customHeight="1">
      <c r="A305" s="1506"/>
      <c r="B305" s="1506"/>
      <c r="C305" s="1506"/>
      <c r="F305" s="448"/>
      <c r="G305" s="450"/>
      <c r="H305" s="450"/>
      <c r="I305" s="450"/>
      <c r="J305" s="450"/>
    </row>
    <row r="306" spans="1:10" ht="12.75">
      <c r="F306" s="448"/>
      <c r="G306" s="450"/>
      <c r="H306" s="450"/>
      <c r="I306" s="450"/>
      <c r="J306" s="450"/>
    </row>
    <row r="307" spans="1:10" ht="16.5" customHeight="1">
      <c r="A307" s="385" t="s">
        <v>878</v>
      </c>
      <c r="B307" s="390"/>
      <c r="C307" s="390"/>
      <c r="F307" s="440"/>
      <c r="G307" s="450"/>
      <c r="H307" s="450"/>
      <c r="I307" s="450"/>
      <c r="J307" s="450"/>
    </row>
    <row r="308" spans="1:10" s="469" customFormat="1" ht="241.5" hidden="1" customHeight="1">
      <c r="A308" s="1481" t="s">
        <v>1311</v>
      </c>
      <c r="B308" s="1482"/>
      <c r="C308" s="1483"/>
      <c r="F308" s="1489"/>
      <c r="G308" s="1489"/>
      <c r="H308" s="1489"/>
      <c r="I308" s="470"/>
      <c r="J308" s="470"/>
    </row>
    <row r="309" spans="1:10" ht="39" customHeight="1">
      <c r="A309" s="382" t="s">
        <v>752</v>
      </c>
      <c r="B309" s="386" t="s">
        <v>782</v>
      </c>
      <c r="C309" s="361" t="s">
        <v>1841</v>
      </c>
    </row>
    <row r="310" spans="1:10" ht="24">
      <c r="A310" s="742" t="s">
        <v>715</v>
      </c>
      <c r="B310" s="491">
        <f>'Component Unit Template'!K120</f>
        <v>0</v>
      </c>
      <c r="C310" s="352"/>
    </row>
    <row r="311" spans="1:10">
      <c r="A311" s="538"/>
      <c r="B311" s="353" t="s">
        <v>716</v>
      </c>
      <c r="C311" s="386" t="s">
        <v>717</v>
      </c>
    </row>
    <row r="312" spans="1:10" ht="24">
      <c r="A312" s="540"/>
      <c r="B312" s="519"/>
      <c r="C312" s="361" t="s">
        <v>894</v>
      </c>
      <c r="F312" s="48" t="str">
        <f>IF($A$309="Yes","Answer Required","N/A")</f>
        <v>N/A</v>
      </c>
    </row>
    <row r="313" spans="1:10" ht="27.75" customHeight="1">
      <c r="A313" s="540"/>
      <c r="B313" s="519"/>
      <c r="C313" s="361" t="s">
        <v>819</v>
      </c>
    </row>
    <row r="314" spans="1:10" ht="48">
      <c r="A314" s="540"/>
      <c r="B314" s="519"/>
      <c r="C314" s="361" t="s">
        <v>1422</v>
      </c>
    </row>
    <row r="315" spans="1:10" ht="24">
      <c r="A315" s="540"/>
      <c r="B315" s="519"/>
      <c r="C315" s="361" t="s">
        <v>820</v>
      </c>
    </row>
    <row r="316" spans="1:10" ht="24">
      <c r="A316" s="540"/>
      <c r="B316" s="519"/>
      <c r="C316" s="361" t="s">
        <v>821</v>
      </c>
    </row>
    <row r="317" spans="1:10" ht="24">
      <c r="A317" s="540"/>
      <c r="B317" s="519"/>
      <c r="C317" s="361" t="s">
        <v>1417</v>
      </c>
    </row>
    <row r="318" spans="1:10" ht="24.75" customHeight="1">
      <c r="A318" s="540"/>
      <c r="B318" s="519"/>
      <c r="C318" s="361" t="s">
        <v>804</v>
      </c>
    </row>
    <row r="319" spans="1:10" ht="24">
      <c r="A319" s="540"/>
      <c r="B319" s="519"/>
      <c r="C319" s="361" t="s">
        <v>880</v>
      </c>
    </row>
    <row r="320" spans="1:10" s="469" customFormat="1">
      <c r="A320" s="540"/>
      <c r="B320" s="743"/>
      <c r="C320" s="472" t="s">
        <v>963</v>
      </c>
    </row>
    <row r="321" spans="1:3" s="469" customFormat="1" ht="17.25" customHeight="1">
      <c r="A321" s="540"/>
      <c r="B321" s="743"/>
      <c r="C321" s="472" t="s">
        <v>964</v>
      </c>
    </row>
    <row r="322" spans="1:3" s="469" customFormat="1" ht="24">
      <c r="A322" s="540"/>
      <c r="B322" s="743"/>
      <c r="C322" s="472" t="s">
        <v>1107</v>
      </c>
    </row>
    <row r="323" spans="1:3" s="469" customFormat="1" ht="21.75" customHeight="1">
      <c r="A323" s="540"/>
      <c r="B323" s="743"/>
      <c r="C323" s="472" t="s">
        <v>1098</v>
      </c>
    </row>
    <row r="324" spans="1:3" s="469" customFormat="1" ht="27" customHeight="1">
      <c r="A324" s="540"/>
      <c r="B324" s="743"/>
      <c r="C324" s="472" t="s">
        <v>1281</v>
      </c>
    </row>
    <row r="325" spans="1:3" s="469" customFormat="1" ht="24">
      <c r="A325" s="540"/>
      <c r="B325" s="743"/>
      <c r="C325" s="472" t="s">
        <v>1099</v>
      </c>
    </row>
    <row r="326" spans="1:3" s="469" customFormat="1" ht="24">
      <c r="A326" s="540"/>
      <c r="B326" s="743"/>
      <c r="C326" s="472" t="s">
        <v>1120</v>
      </c>
    </row>
    <row r="327" spans="1:3" s="469" customFormat="1" ht="24">
      <c r="A327" s="540"/>
      <c r="B327" s="743"/>
      <c r="C327" s="472" t="s">
        <v>1282</v>
      </c>
    </row>
    <row r="328" spans="1:3" s="469" customFormat="1" ht="15">
      <c r="A328" s="540"/>
      <c r="B328" s="471"/>
      <c r="C328" s="472" t="s">
        <v>1488</v>
      </c>
    </row>
    <row r="329" spans="1:3" s="469" customFormat="1" ht="42" customHeight="1">
      <c r="A329" s="540"/>
      <c r="B329" s="471"/>
      <c r="C329" s="472" t="s">
        <v>1865</v>
      </c>
    </row>
    <row r="330" spans="1:3" s="469" customFormat="1" ht="27" hidden="1" customHeight="1">
      <c r="A330" s="540"/>
      <c r="B330" s="471"/>
      <c r="C330" s="472"/>
    </row>
    <row r="331" spans="1:3" s="469" customFormat="1" ht="27" hidden="1" customHeight="1">
      <c r="A331" s="540"/>
      <c r="B331" s="471"/>
      <c r="C331" s="472"/>
    </row>
    <row r="332" spans="1:3" s="469" customFormat="1" ht="27" hidden="1" customHeight="1">
      <c r="A332" s="540"/>
      <c r="B332" s="471"/>
      <c r="C332" s="472"/>
    </row>
    <row r="333" spans="1:3" s="469" customFormat="1" ht="27" hidden="1" customHeight="1">
      <c r="A333" s="540"/>
      <c r="B333" s="471"/>
      <c r="C333" s="472"/>
    </row>
    <row r="334" spans="1:3" s="469" customFormat="1" ht="27" hidden="1" customHeight="1">
      <c r="A334" s="540"/>
      <c r="B334" s="471"/>
      <c r="C334" s="472"/>
    </row>
    <row r="335" spans="1:3" s="469" customFormat="1" ht="27" hidden="1" customHeight="1">
      <c r="A335" s="540"/>
      <c r="B335" s="471"/>
      <c r="C335" s="472"/>
    </row>
    <row r="336" spans="1:3" s="469" customFormat="1" ht="27" hidden="1" customHeight="1">
      <c r="A336" s="540"/>
      <c r="B336" s="471"/>
      <c r="C336" s="472"/>
    </row>
    <row r="337" spans="1:3" s="483" customFormat="1" ht="22.5" customHeight="1">
      <c r="A337" s="480" t="s">
        <v>579</v>
      </c>
      <c r="B337" s="481">
        <f>IF(SUM(B312:B336)=B310,B310,"Error")</f>
        <v>0</v>
      </c>
      <c r="C337" s="482" t="s">
        <v>790</v>
      </c>
    </row>
    <row r="338" spans="1:3" ht="42.75" customHeight="1">
      <c r="A338" s="382" t="s">
        <v>752</v>
      </c>
      <c r="B338" s="386" t="s">
        <v>783</v>
      </c>
      <c r="C338" s="361" t="s">
        <v>1842</v>
      </c>
    </row>
    <row r="339" spans="1:3" ht="24">
      <c r="A339" s="742" t="s">
        <v>879</v>
      </c>
      <c r="B339" s="457">
        <f>'Component Unit Template'!K197</f>
        <v>0</v>
      </c>
      <c r="C339" s="352"/>
    </row>
    <row r="340" spans="1:3">
      <c r="A340" s="541"/>
      <c r="B340" s="353" t="s">
        <v>716</v>
      </c>
      <c r="C340" s="386" t="s">
        <v>718</v>
      </c>
    </row>
    <row r="341" spans="1:3" ht="24.75" customHeight="1">
      <c r="A341" s="540"/>
      <c r="B341" s="519"/>
      <c r="C341" s="361" t="s">
        <v>895</v>
      </c>
    </row>
    <row r="342" spans="1:3" s="422" customFormat="1" ht="48" hidden="1">
      <c r="A342" s="895"/>
      <c r="B342" s="896"/>
      <c r="C342" s="868" t="s">
        <v>1519</v>
      </c>
    </row>
    <row r="343" spans="1:3" s="422" customFormat="1" ht="26.25" hidden="1" customHeight="1">
      <c r="A343" s="895"/>
      <c r="B343" s="896"/>
      <c r="C343" s="868" t="s">
        <v>1520</v>
      </c>
    </row>
    <row r="344" spans="1:3" ht="31.5" customHeight="1">
      <c r="A344" s="540"/>
      <c r="B344" s="519"/>
      <c r="C344" s="361" t="s">
        <v>1521</v>
      </c>
    </row>
    <row r="345" spans="1:3" ht="36">
      <c r="A345" s="540"/>
      <c r="B345" s="519"/>
      <c r="C345" s="361" t="s">
        <v>1522</v>
      </c>
    </row>
    <row r="346" spans="1:3" ht="31.5" customHeight="1">
      <c r="A346" s="540"/>
      <c r="B346" s="519"/>
      <c r="C346" s="361" t="s">
        <v>1523</v>
      </c>
    </row>
    <row r="347" spans="1:3" ht="36">
      <c r="A347" s="540"/>
      <c r="B347" s="519"/>
      <c r="C347" s="361" t="s">
        <v>1524</v>
      </c>
    </row>
    <row r="348" spans="1:3" ht="36">
      <c r="A348" s="540"/>
      <c r="B348" s="519"/>
      <c r="C348" s="361" t="s">
        <v>1525</v>
      </c>
    </row>
    <row r="349" spans="1:3" ht="24">
      <c r="A349" s="540"/>
      <c r="B349" s="519"/>
      <c r="C349" s="361" t="s">
        <v>1526</v>
      </c>
    </row>
    <row r="350" spans="1:3">
      <c r="A350" s="540"/>
      <c r="B350" s="519"/>
      <c r="C350" s="361" t="s">
        <v>1527</v>
      </c>
    </row>
    <row r="351" spans="1:3" ht="19.5" customHeight="1">
      <c r="A351" s="540"/>
      <c r="B351" s="519"/>
      <c r="C351" s="361" t="s">
        <v>1528</v>
      </c>
    </row>
    <row r="352" spans="1:3" ht="24">
      <c r="A352" s="540"/>
      <c r="B352" s="519"/>
      <c r="C352" s="361" t="s">
        <v>1529</v>
      </c>
    </row>
    <row r="353" spans="1:3" ht="24">
      <c r="A353" s="540"/>
      <c r="B353" s="519"/>
      <c r="C353" s="361" t="s">
        <v>1530</v>
      </c>
    </row>
    <row r="354" spans="1:3" hidden="1">
      <c r="A354" s="539"/>
      <c r="B354" s="746"/>
      <c r="C354" s="361" t="s">
        <v>793</v>
      </c>
    </row>
    <row r="355" spans="1:3" s="469" customFormat="1">
      <c r="A355" s="540"/>
      <c r="B355" s="743"/>
      <c r="C355" s="472" t="s">
        <v>1531</v>
      </c>
    </row>
    <row r="356" spans="1:3" s="469" customFormat="1">
      <c r="A356" s="540"/>
      <c r="B356" s="747"/>
      <c r="C356" s="472" t="s">
        <v>1532</v>
      </c>
    </row>
    <row r="357" spans="1:3" s="469" customFormat="1" ht="24">
      <c r="A357" s="540"/>
      <c r="B357" s="747"/>
      <c r="C357" s="472" t="s">
        <v>1533</v>
      </c>
    </row>
    <row r="358" spans="1:3" s="469" customFormat="1" ht="18.75" customHeight="1">
      <c r="A358" s="540"/>
      <c r="B358" s="747"/>
      <c r="C358" s="472" t="s">
        <v>1534</v>
      </c>
    </row>
    <row r="359" spans="1:3" s="469" customFormat="1" ht="24">
      <c r="A359" s="540"/>
      <c r="B359" s="747"/>
      <c r="C359" s="472" t="s">
        <v>1535</v>
      </c>
    </row>
    <row r="360" spans="1:3" s="469" customFormat="1" ht="24">
      <c r="A360" s="540"/>
      <c r="B360" s="747"/>
      <c r="C360" s="472" t="s">
        <v>1536</v>
      </c>
    </row>
    <row r="361" spans="1:3" s="469" customFormat="1" ht="24">
      <c r="A361" s="540"/>
      <c r="B361" s="747"/>
      <c r="C361" s="472" t="s">
        <v>1537</v>
      </c>
    </row>
    <row r="362" spans="1:3" s="469" customFormat="1" ht="15">
      <c r="A362" s="540"/>
      <c r="B362" s="542"/>
      <c r="C362" s="472" t="s">
        <v>1538</v>
      </c>
    </row>
    <row r="363" spans="1:3" s="469" customFormat="1" ht="44.25" customHeight="1">
      <c r="A363" s="540"/>
      <c r="B363" s="542"/>
      <c r="C363" s="499" t="s">
        <v>1539</v>
      </c>
    </row>
    <row r="364" spans="1:3" s="469" customFormat="1" ht="31.5" customHeight="1">
      <c r="A364" s="540"/>
      <c r="B364" s="542"/>
      <c r="C364" s="472" t="s">
        <v>1540</v>
      </c>
    </row>
    <row r="365" spans="1:3" s="469" customFormat="1" ht="19.5" hidden="1" customHeight="1">
      <c r="A365" s="540"/>
      <c r="B365" s="542"/>
      <c r="C365" s="472"/>
    </row>
    <row r="366" spans="1:3" s="469" customFormat="1" ht="19.5" hidden="1" customHeight="1">
      <c r="A366" s="540"/>
      <c r="B366" s="542"/>
      <c r="C366" s="472"/>
    </row>
    <row r="367" spans="1:3" s="469" customFormat="1" ht="19.5" hidden="1" customHeight="1">
      <c r="A367" s="540"/>
      <c r="B367" s="542"/>
      <c r="C367" s="472"/>
    </row>
    <row r="368" spans="1:3" s="469" customFormat="1" ht="19.5" hidden="1" customHeight="1">
      <c r="A368" s="540"/>
      <c r="B368" s="542"/>
      <c r="C368" s="472"/>
    </row>
    <row r="369" spans="1:3" s="483" customFormat="1" ht="19.5" customHeight="1">
      <c r="A369" s="480" t="s">
        <v>579</v>
      </c>
      <c r="B369" s="481">
        <f>IF(SUM(B341:B368)=B339,B339,"Error")</f>
        <v>0</v>
      </c>
      <c r="C369" s="482" t="s">
        <v>790</v>
      </c>
    </row>
    <row r="370" spans="1:3" ht="52.5" customHeight="1">
      <c r="A370" s="382" t="str">
        <f>IF(OR($A$338="Yes",$A$309="Yes"),"Answer Required","N/A")</f>
        <v>N/A</v>
      </c>
      <c r="B370" s="387"/>
      <c r="C370" s="361" t="s">
        <v>1843</v>
      </c>
    </row>
    <row r="371" spans="1:3">
      <c r="B371" s="52"/>
      <c r="C371" s="456" t="str">
        <f>IF(A370="Yes","Answer Required","N/A")</f>
        <v>N/A</v>
      </c>
    </row>
    <row r="372" spans="1:3" ht="13.5" hidden="1" customHeight="1">
      <c r="A372" s="1533"/>
      <c r="B372" s="1588"/>
      <c r="C372" s="1588"/>
    </row>
    <row r="373" spans="1:3" hidden="1">
      <c r="A373" s="1589"/>
      <c r="B373" s="1590"/>
      <c r="C373" s="1590"/>
    </row>
    <row r="374" spans="1:3">
      <c r="B374" s="52"/>
      <c r="C374" s="249"/>
    </row>
    <row r="375" spans="1:3" hidden="1">
      <c r="A375" s="1487" t="s">
        <v>794</v>
      </c>
      <c r="B375" s="1487"/>
      <c r="C375" s="1487"/>
    </row>
    <row r="376" spans="1:3" ht="138.75" hidden="1" customHeight="1">
      <c r="A376" s="1503" t="s">
        <v>958</v>
      </c>
      <c r="B376" s="1504"/>
      <c r="C376" s="1505"/>
    </row>
    <row r="377" spans="1:3" ht="24" hidden="1">
      <c r="A377" s="544" t="s">
        <v>752</v>
      </c>
      <c r="B377" s="386" t="s">
        <v>845</v>
      </c>
      <c r="C377" s="361" t="s">
        <v>1320</v>
      </c>
    </row>
    <row r="378" spans="1:3" hidden="1">
      <c r="A378" s="541"/>
      <c r="B378" s="353" t="s">
        <v>716</v>
      </c>
      <c r="C378" s="398" t="s">
        <v>791</v>
      </c>
    </row>
    <row r="379" spans="1:3" ht="30" hidden="1" customHeight="1">
      <c r="A379" s="314"/>
      <c r="B379" s="456"/>
      <c r="C379" s="361" t="s">
        <v>802</v>
      </c>
    </row>
    <row r="380" spans="1:3" ht="29.25" hidden="1" customHeight="1">
      <c r="A380" s="314"/>
      <c r="B380" s="354"/>
      <c r="C380" s="361" t="s">
        <v>801</v>
      </c>
    </row>
    <row r="381" spans="1:3" ht="123.75" hidden="1" customHeight="1">
      <c r="A381" s="314"/>
      <c r="B381" s="354"/>
      <c r="C381" s="361" t="s">
        <v>822</v>
      </c>
    </row>
    <row r="382" spans="1:3" ht="18" hidden="1" customHeight="1">
      <c r="A382" s="314"/>
      <c r="B382" s="354"/>
      <c r="C382" s="361" t="s">
        <v>816</v>
      </c>
    </row>
    <row r="383" spans="1:3" ht="18" hidden="1" customHeight="1">
      <c r="A383" s="314"/>
      <c r="B383" s="354"/>
      <c r="C383" s="361" t="s">
        <v>795</v>
      </c>
    </row>
    <row r="384" spans="1:3" ht="28.5" hidden="1" customHeight="1">
      <c r="A384" s="314"/>
      <c r="B384" s="354"/>
      <c r="C384" s="361" t="s">
        <v>796</v>
      </c>
    </row>
    <row r="385" spans="1:12" ht="12.75" hidden="1" thickBot="1">
      <c r="A385" s="543" t="s">
        <v>579</v>
      </c>
      <c r="B385" s="389">
        <f>SUM(B379:B384)</f>
        <v>0</v>
      </c>
      <c r="C385" s="390"/>
    </row>
    <row r="386" spans="1:12" ht="12.75" hidden="1" thickTop="1">
      <c r="A386" s="431"/>
      <c r="B386" s="390"/>
      <c r="C386" s="390"/>
    </row>
    <row r="387" spans="1:12" ht="25.5" hidden="1" customHeight="1">
      <c r="A387" s="544" t="s">
        <v>752</v>
      </c>
      <c r="B387" s="386" t="s">
        <v>846</v>
      </c>
      <c r="C387" s="361" t="s">
        <v>1321</v>
      </c>
    </row>
    <row r="388" spans="1:12" hidden="1">
      <c r="A388" s="541"/>
      <c r="B388" s="353" t="s">
        <v>716</v>
      </c>
      <c r="C388" s="398" t="s">
        <v>792</v>
      </c>
    </row>
    <row r="389" spans="1:12" ht="24" hidden="1">
      <c r="A389" s="314"/>
      <c r="B389" s="354"/>
      <c r="C389" s="361" t="s">
        <v>823</v>
      </c>
    </row>
    <row r="390" spans="1:12" ht="53.25" hidden="1" customHeight="1">
      <c r="A390" s="314"/>
      <c r="B390" s="354"/>
      <c r="C390" s="391" t="s">
        <v>824</v>
      </c>
    </row>
    <row r="391" spans="1:12" ht="18.75" hidden="1" customHeight="1">
      <c r="A391" s="314"/>
      <c r="B391" s="354"/>
      <c r="C391" s="391" t="s">
        <v>797</v>
      </c>
    </row>
    <row r="392" spans="1:12" ht="27.75" hidden="1" customHeight="1">
      <c r="A392" s="314"/>
      <c r="B392" s="354"/>
      <c r="C392" s="361" t="s">
        <v>847</v>
      </c>
    </row>
    <row r="393" spans="1:12" ht="12.75" hidden="1" thickBot="1">
      <c r="A393" s="543" t="s">
        <v>579</v>
      </c>
      <c r="B393" s="389">
        <f>SUM(B389:B392)</f>
        <v>0</v>
      </c>
      <c r="C393" s="390"/>
    </row>
    <row r="394" spans="1:12" ht="12.75" hidden="1" thickTop="1">
      <c r="A394" s="392"/>
      <c r="B394" s="393"/>
      <c r="C394" s="394"/>
    </row>
    <row r="395" spans="1:12" ht="18" hidden="1" customHeight="1">
      <c r="A395" s="382"/>
      <c r="B395" s="395" t="s">
        <v>931</v>
      </c>
      <c r="C395" s="361" t="s">
        <v>825</v>
      </c>
    </row>
    <row r="396" spans="1:12" hidden="1">
      <c r="A396" s="396"/>
      <c r="B396" s="397"/>
      <c r="C396" s="388"/>
    </row>
    <row r="397" spans="1:12" ht="12.75" hidden="1">
      <c r="A397" s="311"/>
      <c r="C397" s="19"/>
    </row>
    <row r="398" spans="1:12" hidden="1"/>
    <row r="399" spans="1:12" hidden="1">
      <c r="A399" s="48" t="s">
        <v>875</v>
      </c>
    </row>
    <row r="400" spans="1:12" s="19" customFormat="1" ht="152.25" hidden="1" customHeight="1">
      <c r="A400" s="1478" t="s">
        <v>993</v>
      </c>
      <c r="B400" s="1479"/>
      <c r="C400" s="1480"/>
      <c r="D400" s="131"/>
      <c r="E400" s="23"/>
      <c r="L400" s="32"/>
    </row>
    <row r="401" spans="1:12" s="19" customFormat="1" ht="39" hidden="1" customHeight="1">
      <c r="A401" s="465" t="s">
        <v>752</v>
      </c>
      <c r="B401" s="558" t="s">
        <v>932</v>
      </c>
      <c r="C401" s="557" t="s">
        <v>1318</v>
      </c>
      <c r="D401" s="131"/>
      <c r="E401" s="23"/>
      <c r="L401" s="32"/>
    </row>
    <row r="402" spans="1:12" s="19" customFormat="1" ht="24" hidden="1">
      <c r="A402" s="544" t="str">
        <f>IF($A$401="Yes","Answer Required","N/A")</f>
        <v>N/A</v>
      </c>
      <c r="B402" s="560"/>
      <c r="C402" s="398" t="s">
        <v>951</v>
      </c>
      <c r="D402" s="466" t="s">
        <v>752</v>
      </c>
      <c r="E402" s="23"/>
      <c r="L402" s="32"/>
    </row>
    <row r="403" spans="1:12" s="19" customFormat="1" ht="42" hidden="1" customHeight="1" thickTop="1">
      <c r="A403" s="544" t="str">
        <f t="shared" ref="A403:A405" si="1">IF($A$401="Yes","Answer Required","N/A")</f>
        <v>N/A</v>
      </c>
      <c r="B403" s="560"/>
      <c r="C403" s="398" t="s">
        <v>952</v>
      </c>
      <c r="D403" s="466" t="s">
        <v>752</v>
      </c>
      <c r="E403" s="23"/>
      <c r="L403" s="32"/>
    </row>
    <row r="404" spans="1:12" s="19" customFormat="1" ht="42" hidden="1" customHeight="1">
      <c r="A404" s="544" t="str">
        <f t="shared" si="1"/>
        <v>N/A</v>
      </c>
      <c r="B404" s="560"/>
      <c r="C404" s="398" t="s">
        <v>953</v>
      </c>
      <c r="D404" s="466" t="s">
        <v>752</v>
      </c>
      <c r="E404" s="23"/>
      <c r="L404" s="32"/>
    </row>
    <row r="405" spans="1:12" s="19" customFormat="1" ht="30.75" hidden="1" customHeight="1">
      <c r="A405" s="544" t="str">
        <f t="shared" si="1"/>
        <v>N/A</v>
      </c>
      <c r="B405" s="559"/>
      <c r="C405" s="398" t="s">
        <v>954</v>
      </c>
      <c r="D405" s="466" t="s">
        <v>752</v>
      </c>
      <c r="E405" s="23"/>
      <c r="L405" s="32"/>
    </row>
    <row r="406" spans="1:12" s="19" customFormat="1" ht="60" hidden="1" customHeight="1">
      <c r="A406" s="468"/>
      <c r="B406" s="559" t="s">
        <v>933</v>
      </c>
      <c r="C406" s="308" t="s">
        <v>1060</v>
      </c>
      <c r="D406" s="467"/>
      <c r="L406" s="32"/>
    </row>
    <row r="407" spans="1:12" s="19" customFormat="1" ht="12.75" hidden="1">
      <c r="A407" s="468"/>
      <c r="B407" s="313"/>
      <c r="C407" s="510" t="str">
        <f>IF(A401="Yes","Answer Required","N/A")</f>
        <v>N/A</v>
      </c>
      <c r="D407" s="467"/>
      <c r="L407" s="32"/>
    </row>
    <row r="408" spans="1:12" s="469" customFormat="1" ht="14.25" hidden="1" customHeight="1">
      <c r="A408" s="468"/>
    </row>
    <row r="409" spans="1:12" s="469" customFormat="1" ht="14.25" customHeight="1">
      <c r="A409" s="468"/>
    </row>
    <row r="410" spans="1:12" s="469" customFormat="1" ht="51.75" customHeight="1">
      <c r="A410" s="1559" t="s">
        <v>1489</v>
      </c>
      <c r="B410" s="1559"/>
      <c r="C410" s="1559"/>
    </row>
    <row r="411" spans="1:12" s="19" customFormat="1" ht="155.25" hidden="1" customHeight="1">
      <c r="A411" s="1573" t="s">
        <v>955</v>
      </c>
      <c r="B411" s="1574"/>
      <c r="C411" s="1575"/>
      <c r="D411" s="494"/>
    </row>
    <row r="412" spans="1:12" s="19" customFormat="1" ht="93.75" customHeight="1">
      <c r="A412" s="465" t="s">
        <v>752</v>
      </c>
      <c r="B412" s="497" t="s">
        <v>798</v>
      </c>
      <c r="C412" s="482" t="s">
        <v>957</v>
      </c>
      <c r="D412" s="495"/>
    </row>
    <row r="413" spans="1:12" s="19" customFormat="1" ht="87.75" customHeight="1">
      <c r="A413" s="465" t="s">
        <v>752</v>
      </c>
      <c r="B413" s="497" t="s">
        <v>799</v>
      </c>
      <c r="C413" s="482" t="s">
        <v>956</v>
      </c>
      <c r="D413" s="495"/>
    </row>
    <row r="414" spans="1:12" ht="12.75">
      <c r="B414" s="545"/>
      <c r="C414" s="545"/>
      <c r="E414" s="19"/>
      <c r="F414" s="19"/>
      <c r="G414" s="19"/>
    </row>
    <row r="415" spans="1:12" ht="100.5" customHeight="1">
      <c r="B415" s="1567" t="s">
        <v>1844</v>
      </c>
      <c r="C415" s="1567"/>
      <c r="E415" s="19"/>
      <c r="F415" s="19"/>
      <c r="G415" s="19"/>
    </row>
    <row r="416" spans="1:12" ht="51" customHeight="1">
      <c r="B416" s="1568" t="str">
        <f>IF(OR($A$412="Yes",$A$413="yes"),"Answer Required","N/A")</f>
        <v>N/A</v>
      </c>
      <c r="C416" s="1569"/>
      <c r="E416" s="19"/>
      <c r="F416" s="19"/>
      <c r="G416" s="19"/>
    </row>
    <row r="417" spans="1:7" ht="12.75" customHeight="1">
      <c r="B417" s="51"/>
      <c r="C417" s="51"/>
      <c r="E417" s="19"/>
      <c r="F417" s="19"/>
      <c r="G417" s="19"/>
    </row>
    <row r="418" spans="1:7" hidden="1">
      <c r="B418" s="1570"/>
      <c r="C418" s="1570"/>
    </row>
    <row r="419" spans="1:7" ht="15.75" customHeight="1">
      <c r="A419" s="1487" t="s">
        <v>1271</v>
      </c>
      <c r="B419" s="1487"/>
      <c r="C419" s="1487"/>
    </row>
    <row r="420" spans="1:7" ht="174.95" customHeight="1">
      <c r="A420" s="1571" t="s">
        <v>1845</v>
      </c>
      <c r="B420" s="1572"/>
      <c r="C420" s="1572"/>
    </row>
    <row r="421" spans="1:7" ht="48">
      <c r="A421" s="465" t="s">
        <v>752</v>
      </c>
      <c r="B421" s="386" t="s">
        <v>918</v>
      </c>
      <c r="C421" s="518" t="s">
        <v>1846</v>
      </c>
    </row>
    <row r="422" spans="1:7" ht="32.1" customHeight="1">
      <c r="B422" s="353" t="s">
        <v>1027</v>
      </c>
      <c r="C422" s="353" t="s">
        <v>968</v>
      </c>
    </row>
    <row r="423" spans="1:7" ht="24">
      <c r="A423" s="499" t="s">
        <v>965</v>
      </c>
      <c r="B423" s="519"/>
      <c r="C423" s="427" t="str">
        <f>IF(B423=0,"N/A","Answer Required")</f>
        <v>N/A</v>
      </c>
    </row>
    <row r="424" spans="1:7" ht="24">
      <c r="A424" s="499" t="s">
        <v>966</v>
      </c>
      <c r="B424" s="519"/>
      <c r="C424" s="427" t="str">
        <f>IF(B424=0,"N/A","Answer Required")</f>
        <v>N/A</v>
      </c>
    </row>
    <row r="425" spans="1:7" ht="24">
      <c r="A425" s="499" t="s">
        <v>967</v>
      </c>
      <c r="B425" s="519"/>
      <c r="C425" s="427" t="str">
        <f>IF(B425=0,"N/A","Answer Required")</f>
        <v>N/A</v>
      </c>
    </row>
    <row r="426" spans="1:7" ht="20.100000000000001" customHeight="1">
      <c r="B426" s="520">
        <f>SUM(B423:B425)</f>
        <v>0</v>
      </c>
      <c r="C426" s="529" t="s">
        <v>975</v>
      </c>
    </row>
    <row r="427" spans="1:7" ht="29.25" customHeight="1">
      <c r="A427" s="137" t="s">
        <v>72</v>
      </c>
      <c r="B427" s="520">
        <f>SUM('Tab 1B-Cash Eq. &amp; Inv. Not w Tr'!AB:AD)</f>
        <v>0</v>
      </c>
      <c r="C427" s="530" t="s">
        <v>1032</v>
      </c>
    </row>
    <row r="428" spans="1:7" ht="20.100000000000001" customHeight="1">
      <c r="B428" s="520">
        <f>B426-B427</f>
        <v>0</v>
      </c>
      <c r="C428" s="529" t="s">
        <v>50</v>
      </c>
    </row>
    <row r="429" spans="1:7" ht="29.25" customHeight="1">
      <c r="B429" s="511"/>
      <c r="C429" s="531" t="s">
        <v>1031</v>
      </c>
    </row>
    <row r="430" spans="1:7">
      <c r="C430" s="427" t="str">
        <f>IF(B428=0,"N/A","Answer Required")</f>
        <v>N/A</v>
      </c>
    </row>
    <row r="431" spans="1:7" ht="24">
      <c r="A431" s="465" t="str">
        <f>IF($A$421="Yes","Answer Required","N/A")</f>
        <v>N/A</v>
      </c>
      <c r="B431" s="386" t="s">
        <v>919</v>
      </c>
      <c r="C431" s="517" t="s">
        <v>1272</v>
      </c>
    </row>
    <row r="432" spans="1:7" ht="20.100000000000001" customHeight="1">
      <c r="A432" s="514"/>
      <c r="B432" s="515"/>
      <c r="C432" s="361" t="s">
        <v>1028</v>
      </c>
    </row>
    <row r="433" spans="1:3">
      <c r="A433" s="443"/>
      <c r="B433" s="516"/>
      <c r="C433" s="456" t="str">
        <f>IF(A431="Yes","Answer Required","N/A")</f>
        <v>N/A</v>
      </c>
    </row>
    <row r="434" spans="1:3" ht="65.099999999999994" customHeight="1">
      <c r="A434" s="465" t="s">
        <v>752</v>
      </c>
      <c r="B434" s="386" t="s">
        <v>920</v>
      </c>
      <c r="C434" s="517" t="s">
        <v>1847</v>
      </c>
    </row>
    <row r="435" spans="1:3" ht="36">
      <c r="A435" s="500"/>
      <c r="B435" s="353" t="s">
        <v>1030</v>
      </c>
      <c r="C435" s="353" t="s">
        <v>1029</v>
      </c>
    </row>
    <row r="436" spans="1:3">
      <c r="A436" s="500"/>
      <c r="B436" s="519">
        <v>5</v>
      </c>
      <c r="C436" s="427" t="str">
        <f>IF(B436=0,"N/A","Answer Required")</f>
        <v>Answer Required</v>
      </c>
    </row>
    <row r="437" spans="1:3" ht="24" customHeight="1">
      <c r="A437" s="674" t="s">
        <v>72</v>
      </c>
      <c r="B437" s="520">
        <f>SUM('Tab 1B-Cash Eq. &amp; Inv. Not w Tr'!AE:AE)</f>
        <v>0</v>
      </c>
      <c r="C437" s="531" t="s">
        <v>1033</v>
      </c>
    </row>
    <row r="438" spans="1:3" ht="20.100000000000001" customHeight="1">
      <c r="A438" s="500"/>
      <c r="B438" s="520">
        <f>B436-B437</f>
        <v>5</v>
      </c>
      <c r="C438" s="532" t="s">
        <v>50</v>
      </c>
    </row>
    <row r="439" spans="1:3" ht="32.1" customHeight="1">
      <c r="A439" s="500"/>
      <c r="B439" s="500"/>
      <c r="C439" s="531" t="s">
        <v>1034</v>
      </c>
    </row>
    <row r="440" spans="1:3">
      <c r="A440" s="500"/>
      <c r="C440" s="427" t="str">
        <f>IF(B438=0,"N/A","Answer Required")</f>
        <v>Answer Required</v>
      </c>
    </row>
    <row r="441" spans="1:3" ht="62.25" customHeight="1">
      <c r="A441" s="465" t="str">
        <f>IF(OR($A$421="Yes",$A$434="Yes"),"Answer Required","N/A")</f>
        <v>N/A</v>
      </c>
      <c r="B441" s="386" t="s">
        <v>921</v>
      </c>
      <c r="C441" s="482" t="s">
        <v>1848</v>
      </c>
    </row>
    <row r="442" spans="1:3" ht="20.100000000000001" customHeight="1">
      <c r="A442" s="394"/>
      <c r="B442" s="574"/>
      <c r="C442" s="361" t="s">
        <v>1026</v>
      </c>
    </row>
    <row r="443" spans="1:3">
      <c r="A443" s="394"/>
      <c r="B443" s="574"/>
      <c r="C443" s="456" t="str">
        <f>IF(A441="No", "Answer Required","N/A")</f>
        <v>N/A</v>
      </c>
    </row>
    <row r="444" spans="1:3" ht="48" hidden="1">
      <c r="A444" s="573" t="s">
        <v>752</v>
      </c>
      <c r="B444" s="476" t="s">
        <v>1113</v>
      </c>
      <c r="C444" s="518" t="s">
        <v>1319</v>
      </c>
    </row>
    <row r="445" spans="1:3" hidden="1">
      <c r="A445" s="500"/>
      <c r="B445" s="500"/>
      <c r="C445" s="501" t="str">
        <f>IF(A444="Yes","Answer Required","N/A")</f>
        <v>N/A</v>
      </c>
    </row>
    <row r="446" spans="1:3" ht="12.75" customHeight="1"/>
    <row r="448" spans="1:3">
      <c r="A448" s="1532" t="s">
        <v>1100</v>
      </c>
      <c r="B448" s="1532"/>
      <c r="C448" s="1532"/>
    </row>
    <row r="449" spans="1:3" ht="84" customHeight="1">
      <c r="A449" s="1591" t="s">
        <v>1116</v>
      </c>
      <c r="B449" s="1592"/>
      <c r="C449" s="1593"/>
    </row>
    <row r="450" spans="1:3" ht="134.25" customHeight="1">
      <c r="A450" s="1594" t="s">
        <v>1108</v>
      </c>
      <c r="B450" s="1595"/>
      <c r="C450" s="1596"/>
    </row>
    <row r="451" spans="1:3" hidden="1">
      <c r="A451" s="568"/>
      <c r="B451" s="311"/>
      <c r="C451" s="569"/>
    </row>
    <row r="452" spans="1:3" ht="27" hidden="1" customHeight="1">
      <c r="A452" s="568"/>
      <c r="B452" s="311"/>
      <c r="C452" s="569"/>
    </row>
    <row r="453" spans="1:3" ht="12" hidden="1" customHeight="1">
      <c r="A453" s="568"/>
      <c r="B453" s="311"/>
      <c r="C453" s="569"/>
    </row>
    <row r="454" spans="1:3" ht="21" hidden="1" customHeight="1">
      <c r="A454" s="570"/>
      <c r="B454" s="571"/>
      <c r="C454" s="572"/>
    </row>
    <row r="455" spans="1:3" ht="24">
      <c r="A455" s="382" t="s">
        <v>752</v>
      </c>
      <c r="B455" s="307" t="s">
        <v>843</v>
      </c>
      <c r="C455" s="567" t="s">
        <v>1117</v>
      </c>
    </row>
    <row r="456" spans="1:3" ht="24">
      <c r="A456" s="382" t="s">
        <v>752</v>
      </c>
      <c r="B456" s="307" t="s">
        <v>844</v>
      </c>
      <c r="C456" s="567" t="s">
        <v>1118</v>
      </c>
    </row>
    <row r="457" spans="1:3" ht="24">
      <c r="A457" s="577" t="str">
        <f>IF(OR($A$455="Yes",$A$456="Yes"),"Answer Required","N/A")</f>
        <v>N/A</v>
      </c>
      <c r="B457" s="307" t="s">
        <v>1104</v>
      </c>
      <c r="C457" s="567" t="s">
        <v>1633</v>
      </c>
    </row>
    <row r="458" spans="1:3">
      <c r="A458" s="748" t="str">
        <f>IF($A$457="Yes","Answer Required","N/A")</f>
        <v>N/A</v>
      </c>
      <c r="B458" s="566" t="s">
        <v>1105</v>
      </c>
      <c r="C458" s="545" t="s">
        <v>1119</v>
      </c>
    </row>
    <row r="459" spans="1:3">
      <c r="A459" s="748" t="str">
        <f>IF($A$457="Yes","Answer Required","N/A")</f>
        <v>N/A</v>
      </c>
      <c r="B459" s="307" t="s">
        <v>1113</v>
      </c>
      <c r="C459" s="545" t="s">
        <v>1123</v>
      </c>
    </row>
    <row r="460" spans="1:3" ht="60">
      <c r="C460" s="567" t="s">
        <v>1541</v>
      </c>
    </row>
    <row r="461" spans="1:3" ht="57" customHeight="1">
      <c r="C461" s="578" t="str">
        <f>IF(OR($A$455="Yes",$A$456="Yes",$A$457="Yes"),"Answer Required","N/A")</f>
        <v>N/A</v>
      </c>
    </row>
    <row r="462" spans="1:3" ht="43.5" customHeight="1">
      <c r="A462" s="1487" t="s">
        <v>1305</v>
      </c>
      <c r="B462" s="1487"/>
      <c r="C462" s="1487"/>
    </row>
    <row r="463" spans="1:3" ht="35.25" customHeight="1">
      <c r="A463" s="382" t="s">
        <v>752</v>
      </c>
      <c r="B463" s="566">
        <v>16</v>
      </c>
      <c r="C463" s="567" t="s">
        <v>1849</v>
      </c>
    </row>
    <row r="464" spans="1:3" ht="57" customHeight="1">
      <c r="C464" s="578" t="str">
        <f>IF(OR($A$463="Yes"),"Answer Required","N/A")</f>
        <v>N/A</v>
      </c>
    </row>
    <row r="465" spans="1:3" ht="36" customHeight="1">
      <c r="C465" s="749"/>
    </row>
    <row r="466" spans="1:3" ht="43.5" customHeight="1">
      <c r="A466" s="1487" t="s">
        <v>1400</v>
      </c>
      <c r="B466" s="1487"/>
      <c r="C466" s="1487"/>
    </row>
    <row r="467" spans="1:3" ht="99.75" customHeight="1">
      <c r="A467" s="382" t="s">
        <v>752</v>
      </c>
      <c r="B467" s="566" t="s">
        <v>932</v>
      </c>
      <c r="C467" s="361" t="s">
        <v>1850</v>
      </c>
    </row>
    <row r="468" spans="1:3" ht="40.5" customHeight="1">
      <c r="C468" s="578" t="str">
        <f>IF(OR($A$467="Yes"),"Answer Required","N/A")</f>
        <v>N/A</v>
      </c>
    </row>
    <row r="469" spans="1:3" ht="12.75" customHeight="1">
      <c r="C469" s="749"/>
    </row>
    <row r="470" spans="1:3" ht="42.75" customHeight="1">
      <c r="A470" s="382" t="s">
        <v>752</v>
      </c>
      <c r="B470" s="566" t="s">
        <v>933</v>
      </c>
      <c r="C470" s="361" t="s">
        <v>1448</v>
      </c>
    </row>
    <row r="471" spans="1:3" ht="32.25" customHeight="1">
      <c r="C471" s="578" t="str">
        <f>IF(OR($A$470="Yes"),"Answer Required","N/A")</f>
        <v>N/A</v>
      </c>
    </row>
    <row r="472" spans="1:3" ht="36" customHeight="1">
      <c r="C472" s="749"/>
    </row>
    <row r="473" spans="1:3" ht="30" customHeight="1">
      <c r="A473" s="1487" t="s">
        <v>1127</v>
      </c>
      <c r="B473" s="1487"/>
      <c r="C473" s="1487"/>
    </row>
    <row r="474" spans="1:3" ht="63.75" customHeight="1">
      <c r="A474" s="1576" t="s">
        <v>1434</v>
      </c>
      <c r="B474" s="1577"/>
      <c r="C474" s="1578"/>
    </row>
    <row r="475" spans="1:3">
      <c r="A475" s="1579" t="s">
        <v>1851</v>
      </c>
      <c r="B475" s="1579"/>
      <c r="C475" s="1579"/>
    </row>
    <row r="476" spans="1:3">
      <c r="A476" s="268" t="s">
        <v>752</v>
      </c>
      <c r="B476" s="566" t="s">
        <v>1306</v>
      </c>
      <c r="C476" s="567" t="s">
        <v>1852</v>
      </c>
    </row>
    <row r="477" spans="1:3" ht="12.75" customHeight="1">
      <c r="B477" s="1566" t="s">
        <v>1356</v>
      </c>
      <c r="C477" s="1566"/>
    </row>
    <row r="478" spans="1:3">
      <c r="A478" s="798"/>
      <c r="B478" s="566" t="s">
        <v>1328</v>
      </c>
      <c r="C478" s="545" t="s">
        <v>274</v>
      </c>
    </row>
    <row r="479" spans="1:3">
      <c r="A479" s="799" t="s">
        <v>668</v>
      </c>
      <c r="B479" s="744" t="str">
        <f>IF($A$476="Yes","Answer Required","N/A")</f>
        <v>N/A</v>
      </c>
      <c r="C479" s="744"/>
    </row>
    <row r="480" spans="1:3">
      <c r="A480" s="799" t="s">
        <v>668</v>
      </c>
      <c r="B480" s="744"/>
      <c r="C480" s="744"/>
    </row>
    <row r="481" spans="1:3">
      <c r="A481" s="799" t="s">
        <v>668</v>
      </c>
      <c r="B481" s="744"/>
      <c r="C481" s="744"/>
    </row>
    <row r="482" spans="1:3" ht="34.5" customHeight="1">
      <c r="A482" s="800"/>
      <c r="B482" s="790"/>
      <c r="C482" s="789"/>
    </row>
    <row r="483" spans="1:3">
      <c r="A483" s="47" t="s">
        <v>1853</v>
      </c>
      <c r="C483" s="396"/>
    </row>
    <row r="484" spans="1:3">
      <c r="A484" s="268" t="s">
        <v>752</v>
      </c>
      <c r="B484" s="566" t="s">
        <v>1307</v>
      </c>
      <c r="C484" s="503"/>
    </row>
    <row r="485" spans="1:3" ht="27.75" customHeight="1">
      <c r="B485" s="397"/>
      <c r="C485" s="567" t="s">
        <v>1854</v>
      </c>
    </row>
    <row r="486" spans="1:3">
      <c r="C486" s="751" t="str">
        <f>IF(A484="Yes","Answer Required","N/A")</f>
        <v>N/A</v>
      </c>
    </row>
    <row r="487" spans="1:3">
      <c r="A487" s="584" t="s">
        <v>1128</v>
      </c>
      <c r="B487" s="589"/>
      <c r="C487" s="583"/>
    </row>
    <row r="488" spans="1:3">
      <c r="A488" s="268" t="s">
        <v>752</v>
      </c>
      <c r="B488" s="566" t="s">
        <v>1542</v>
      </c>
      <c r="C488" s="583" t="s">
        <v>1194</v>
      </c>
    </row>
    <row r="489" spans="1:3">
      <c r="A489" s="268" t="s">
        <v>752</v>
      </c>
      <c r="B489" s="566" t="s">
        <v>1543</v>
      </c>
      <c r="C489" s="583" t="s">
        <v>1195</v>
      </c>
    </row>
    <row r="490" spans="1:3">
      <c r="A490" s="268" t="s">
        <v>752</v>
      </c>
      <c r="B490" s="566" t="s">
        <v>1544</v>
      </c>
      <c r="C490" s="572" t="s">
        <v>1196</v>
      </c>
    </row>
    <row r="491" spans="1:3" ht="63" customHeight="1">
      <c r="B491" s="311"/>
      <c r="C491" s="567" t="s">
        <v>1435</v>
      </c>
    </row>
    <row r="492" spans="1:3" ht="34.5" customHeight="1">
      <c r="B492" s="750"/>
      <c r="C492" s="501" t="str">
        <f>IF(OR(A488="Yes",A489="Yes",A490="Yes"),"Answer Required","N/A")</f>
        <v>N/A</v>
      </c>
    </row>
    <row r="493" spans="1:3" ht="6.75" customHeight="1"/>
    <row r="494" spans="1:3" s="19" customFormat="1" ht="41.25" customHeight="1">
      <c r="A494" s="900" t="s">
        <v>1545</v>
      </c>
      <c r="B494" s="897"/>
      <c r="C494" s="898"/>
    </row>
    <row r="495" spans="1:3" s="19" customFormat="1" ht="81.75" customHeight="1">
      <c r="A495" s="268" t="s">
        <v>752</v>
      </c>
      <c r="B495" s="901">
        <v>19</v>
      </c>
      <c r="C495" s="899" t="s">
        <v>1855</v>
      </c>
    </row>
    <row r="496" spans="1:3" s="19" customFormat="1" ht="12.75">
      <c r="A496" s="699"/>
      <c r="B496" s="897"/>
      <c r="C496" s="434" t="str">
        <f>IF(A495="YES","Answer Required","N/A")</f>
        <v>N/A</v>
      </c>
    </row>
    <row r="500" spans="1:4" s="19" customFormat="1" ht="18" customHeight="1">
      <c r="A500" s="1030" t="s">
        <v>1856</v>
      </c>
      <c r="B500" s="1029"/>
      <c r="C500" s="898"/>
    </row>
    <row r="501" spans="1:4" s="19" customFormat="1" ht="117" customHeight="1">
      <c r="A501" s="1563" t="s">
        <v>1866</v>
      </c>
      <c r="B501" s="1564"/>
      <c r="C501" s="1565"/>
    </row>
    <row r="502" spans="1:4" s="19" customFormat="1" ht="111" customHeight="1">
      <c r="A502" s="268" t="s">
        <v>752</v>
      </c>
      <c r="B502" s="901" t="s">
        <v>1546</v>
      </c>
      <c r="C502" s="899" t="s">
        <v>1551</v>
      </c>
    </row>
    <row r="503" spans="1:4" s="19" customFormat="1" ht="201" customHeight="1">
      <c r="A503" s="902" t="str">
        <f>IF($A$502="Yes","Answer Required","N/A")</f>
        <v>N/A</v>
      </c>
      <c r="B503" s="901" t="s">
        <v>1547</v>
      </c>
      <c r="C503" s="903" t="s">
        <v>1552</v>
      </c>
    </row>
    <row r="504" spans="1:4" s="19" customFormat="1" ht="12.75">
      <c r="A504" s="699"/>
      <c r="B504" s="897"/>
      <c r="C504" s="434" t="str">
        <f>IF(A503="YES","Answer Required","N/A")</f>
        <v>N/A</v>
      </c>
    </row>
    <row r="505" spans="1:4" s="19" customFormat="1" ht="108.75" customHeight="1">
      <c r="A505" s="902" t="str">
        <f>IF($A$502="Yes","Answer Required","N/A")</f>
        <v>N/A</v>
      </c>
      <c r="B505" s="901" t="s">
        <v>1548</v>
      </c>
      <c r="C505" s="903" t="s">
        <v>1679</v>
      </c>
    </row>
    <row r="506" spans="1:4" s="19" customFormat="1" ht="81" customHeight="1">
      <c r="A506" s="902" t="str">
        <f>IF($A$502="Yes","Answer Required","N/A")</f>
        <v>N/A</v>
      </c>
      <c r="B506" s="901" t="s">
        <v>1549</v>
      </c>
      <c r="C506" s="903" t="s">
        <v>1553</v>
      </c>
    </row>
    <row r="507" spans="1:4" s="19" customFormat="1" ht="12.75">
      <c r="A507" s="699"/>
      <c r="B507" s="897"/>
      <c r="C507" s="434" t="str">
        <f>IF(A506="YES","Answer Required","N/A")</f>
        <v>N/A</v>
      </c>
    </row>
    <row r="508" spans="1:4" s="19" customFormat="1" ht="84.75" customHeight="1">
      <c r="A508" s="268" t="s">
        <v>752</v>
      </c>
      <c r="B508" s="901" t="s">
        <v>1550</v>
      </c>
      <c r="C508" s="903" t="s">
        <v>1554</v>
      </c>
    </row>
    <row r="509" spans="1:4" s="19" customFormat="1" ht="12.75">
      <c r="A509" s="699"/>
      <c r="B509" s="897"/>
      <c r="C509" s="434" t="str">
        <f>IF(A508="YES","Answer Required","N/A")</f>
        <v>N/A</v>
      </c>
    </row>
    <row r="511" spans="1:4" ht="20.25" customHeight="1">
      <c r="A511" s="1560" t="s">
        <v>1857</v>
      </c>
      <c r="B511" s="1561"/>
      <c r="C511" s="1562"/>
    </row>
    <row r="512" spans="1:4" s="19" customFormat="1" ht="196.5" customHeight="1">
      <c r="A512" s="268" t="s">
        <v>752</v>
      </c>
      <c r="B512" s="901">
        <v>21</v>
      </c>
      <c r="C512" s="903" t="s">
        <v>1870</v>
      </c>
      <c r="D512" s="903"/>
    </row>
    <row r="513" spans="1:4" s="1031" customFormat="1" ht="19.5" customHeight="1">
      <c r="A513" s="699"/>
      <c r="B513" s="897"/>
      <c r="C513" s="434" t="str">
        <f>IF(A512="YES","Answer Required","N/A")</f>
        <v>N/A</v>
      </c>
    </row>
    <row r="514" spans="1:4" ht="20.25" customHeight="1">
      <c r="A514" s="1560" t="s">
        <v>1858</v>
      </c>
      <c r="B514" s="1561"/>
      <c r="C514" s="1562"/>
    </row>
    <row r="515" spans="1:4" s="19" customFormat="1" ht="84.75" customHeight="1">
      <c r="A515" s="268" t="s">
        <v>752</v>
      </c>
      <c r="B515" s="901">
        <v>22</v>
      </c>
      <c r="C515" s="903" t="s">
        <v>1871</v>
      </c>
      <c r="D515" s="903"/>
    </row>
    <row r="516" spans="1:4" s="1031" customFormat="1" ht="19.5" customHeight="1">
      <c r="A516" s="699"/>
      <c r="B516" s="897"/>
      <c r="C516" s="434" t="str">
        <f>IF(A515="YES","Answer Required","N/A")</f>
        <v>N/A</v>
      </c>
    </row>
  </sheetData>
  <dataConsolidate/>
  <customSheetViews>
    <customSheetView guid="{FBB78E72-3FBC-498A-91AC-D094BCE26D3C}" showPageBreaks="1" showGridLines="0" printArea="1" hiddenRows="1" hiddenColumns="1" view="pageBreakPreview" topLeftCell="A183">
      <selection activeCell="C194" sqref="C194"/>
      <rowBreaks count="9" manualBreakCount="9">
        <brk id="65" max="2" man="1"/>
        <brk id="115" max="2" man="1"/>
        <brk id="160" max="2" man="1"/>
        <brk id="200" max="2" man="1"/>
        <brk id="253" max="2" man="1"/>
        <brk id="282" max="2" man="1"/>
        <brk id="304" max="2" man="1"/>
        <brk id="343" max="2" man="1"/>
        <brk id="377" max="2" man="1"/>
      </rowBreaks>
      <pageMargins left="0.5" right="0.25" top="0.76" bottom="0.45" header="0.3" footer="0.26"/>
      <pageSetup scale="56" fitToHeight="18"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PageBreaks="1" showGridLines="0" printArea="1" hiddenRows="1" hiddenColumns="1" view="pageBreakPreview" topLeftCell="A286">
      <selection activeCell="A304" sqref="A304:C304"/>
      <rowBreaks count="9" manualBreakCount="9">
        <brk id="65" max="2" man="1"/>
        <brk id="115" max="2" man="1"/>
        <brk id="160" max="2" man="1"/>
        <brk id="200" max="2" man="1"/>
        <brk id="253" max="2" man="1"/>
        <brk id="282" max="2" man="1"/>
        <brk id="304" max="2" man="1"/>
        <brk id="343" max="2" man="1"/>
        <brk id="377" max="2" man="1"/>
      </rowBreaks>
      <pageMargins left="0.5" right="0.25" top="0.76" bottom="0.45" header="0.3" footer="0.26"/>
      <pageSetup scale="59" fitToHeight="18"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PageBreaks="1" showGridLines="0" printArea="1" hiddenRows="1" hiddenColumns="1" view="pageBreakPreview" topLeftCell="A286">
      <selection activeCell="A404" sqref="A404:XFD404"/>
      <rowBreaks count="9" manualBreakCount="9">
        <brk id="65" max="2" man="1"/>
        <brk id="115" max="2" man="1"/>
        <brk id="160" max="2" man="1"/>
        <brk id="200" max="2" man="1"/>
        <brk id="253" max="2" man="1"/>
        <brk id="282" max="2" man="1"/>
        <brk id="304" max="2" man="1"/>
        <brk id="343" max="2" man="1"/>
        <brk id="377" max="2" man="1"/>
      </rowBreaks>
      <pageMargins left="0.5" right="0.25" top="0.76" bottom="0.45" header="0.3" footer="0.26"/>
      <pageSetup scale="59" fitToHeight="18"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fitToPage="1" printArea="1" hiddenRows="1" hiddenColumns="1" view="pageBreakPreview">
      <rowBreaks count="8" manualBreakCount="8">
        <brk id="60" max="2" man="1"/>
        <brk id="140" max="2" man="1"/>
        <brk id="306" max="2" man="1"/>
        <brk id="332" max="2" man="1"/>
        <brk id="400" max="2" man="1"/>
        <brk id="426" max="2" man="1"/>
        <brk id="540" max="16383" man="1"/>
        <brk id="555" max="16383" man="1"/>
      </rowBreaks>
      <pageMargins left="0.5" right="0.25" top="0.76" bottom="0.45" header="0.3" footer="0.26"/>
      <pageSetup scale="72" fitToHeight="0"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fitToPage="1" printArea="1" hiddenRows="1" hiddenColumns="1" topLeftCell="A465">
      <selection activeCell="A469" sqref="A469"/>
      <rowBreaks count="10" manualBreakCount="10">
        <brk id="60" max="2" man="1"/>
        <brk id="140" max="2" man="1"/>
        <brk id="306" max="2" man="1"/>
        <brk id="337" max="2" man="1"/>
        <brk id="407" max="2" man="1"/>
        <brk id="416" max="2" man="1"/>
        <brk id="445" max="2" man="1"/>
        <brk id="480" max="16383" man="1"/>
        <brk id="566" max="16383" man="1"/>
        <brk id="581" max="16383" man="1"/>
      </rowBreaks>
      <pageMargins left="0.5" right="0.25" top="0.76" bottom="0.45" header="0.3" footer="0.26"/>
      <pageSetup scale="72" fitToHeight="0"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99">
    <mergeCell ref="A514:C514"/>
    <mergeCell ref="A473:C473"/>
    <mergeCell ref="A474:C474"/>
    <mergeCell ref="A475:C475"/>
    <mergeCell ref="A260:C260"/>
    <mergeCell ref="A279:C279"/>
    <mergeCell ref="A280:C280"/>
    <mergeCell ref="A281:C281"/>
    <mergeCell ref="A283:C283"/>
    <mergeCell ref="A372:C372"/>
    <mergeCell ref="A373:C373"/>
    <mergeCell ref="A448:C448"/>
    <mergeCell ref="A449:C449"/>
    <mergeCell ref="A450:C450"/>
    <mergeCell ref="A462:C462"/>
    <mergeCell ref="A466:C466"/>
    <mergeCell ref="A410:C410"/>
    <mergeCell ref="A511:C511"/>
    <mergeCell ref="A501:C501"/>
    <mergeCell ref="B477:C477"/>
    <mergeCell ref="B415:C415"/>
    <mergeCell ref="B416:C416"/>
    <mergeCell ref="B418:C418"/>
    <mergeCell ref="A420:C420"/>
    <mergeCell ref="A419:C419"/>
    <mergeCell ref="A411:C411"/>
    <mergeCell ref="A188:C188"/>
    <mergeCell ref="A177:C177"/>
    <mergeCell ref="A178:C178"/>
    <mergeCell ref="A220:B220"/>
    <mergeCell ref="A221:B221"/>
    <mergeCell ref="A184:C184"/>
    <mergeCell ref="A186:C186"/>
    <mergeCell ref="A180:C180"/>
    <mergeCell ref="A181:C181"/>
    <mergeCell ref="A183:C183"/>
    <mergeCell ref="A192:C192"/>
    <mergeCell ref="A175:C175"/>
    <mergeCell ref="A174:C174"/>
    <mergeCell ref="A171:B171"/>
    <mergeCell ref="A172:B172"/>
    <mergeCell ref="A169:B169"/>
    <mergeCell ref="A170:B170"/>
    <mergeCell ref="A229:C229"/>
    <mergeCell ref="A219:B219"/>
    <mergeCell ref="A193:C193"/>
    <mergeCell ref="A194:C194"/>
    <mergeCell ref="A195:C195"/>
    <mergeCell ref="A199:B199"/>
    <mergeCell ref="A196:C196"/>
    <mergeCell ref="A211:B211"/>
    <mergeCell ref="A218:B218"/>
    <mergeCell ref="A168:B168"/>
    <mergeCell ref="A84:C84"/>
    <mergeCell ref="A85:C85"/>
    <mergeCell ref="C87:C89"/>
    <mergeCell ref="C102:C104"/>
    <mergeCell ref="C107:C109"/>
    <mergeCell ref="C127:C129"/>
    <mergeCell ref="C132:C134"/>
    <mergeCell ref="C137:C139"/>
    <mergeCell ref="C92:C94"/>
    <mergeCell ref="A166:B166"/>
    <mergeCell ref="C113:C115"/>
    <mergeCell ref="C117:C119"/>
    <mergeCell ref="C122:C124"/>
    <mergeCell ref="A167:B167"/>
    <mergeCell ref="A376:C376"/>
    <mergeCell ref="A305:C305"/>
    <mergeCell ref="A259:C259"/>
    <mergeCell ref="B1:C1"/>
    <mergeCell ref="B2:C2"/>
    <mergeCell ref="B3:C3"/>
    <mergeCell ref="B4:C4"/>
    <mergeCell ref="C78:C82"/>
    <mergeCell ref="B5:C5"/>
    <mergeCell ref="B6:C6"/>
    <mergeCell ref="A58:B58"/>
    <mergeCell ref="A37:C37"/>
    <mergeCell ref="A56:B56"/>
    <mergeCell ref="A57:B57"/>
    <mergeCell ref="A59:B59"/>
    <mergeCell ref="C97:C99"/>
    <mergeCell ref="A400:C400"/>
    <mergeCell ref="A308:C308"/>
    <mergeCell ref="A303:C303"/>
    <mergeCell ref="A375:C375"/>
    <mergeCell ref="F194:H194"/>
    <mergeCell ref="F195:H195"/>
    <mergeCell ref="F308:H308"/>
    <mergeCell ref="G244:I244"/>
    <mergeCell ref="G245:I245"/>
    <mergeCell ref="G246:I246"/>
    <mergeCell ref="F251:J251"/>
    <mergeCell ref="A284:C284"/>
    <mergeCell ref="A297:C297"/>
    <mergeCell ref="A285:C285"/>
    <mergeCell ref="A286:C286"/>
    <mergeCell ref="A296:C296"/>
  </mergeCells>
  <phoneticPr fontId="27" type="noConversion"/>
  <conditionalFormatting sqref="A15 A23 A30 A38 A45 A52 A62 A72 A86 A91 A96 A101 A106 A112 A116 A121 A126 A131 A136 A142 A150 A152 A154 A156 A158 A160 A162:A163 A176 A179 A182 A185 A198:A203 A205 A207:A208 A210 A212:A215 A217 A222 A224 A226 A228 A231 A238:B238 A240:B240 A243:A250 B244:B250 A252:A255 B253:B255 A282 A287 A298 A370 A395 D402:D407 B492:C492">
    <cfRule type="cellIs" dxfId="119" priority="739" operator="equal">
      <formula>"Answer Required"</formula>
    </cfRule>
  </conditionalFormatting>
  <conditionalFormatting sqref="A67:A68">
    <cfRule type="cellIs" dxfId="118" priority="157" operator="equal">
      <formula>"Answer Required"</formula>
    </cfRule>
  </conditionalFormatting>
  <conditionalFormatting sqref="A239">
    <cfRule type="cellIs" dxfId="117" priority="239" operator="equal">
      <formula>"Go to DOA's website and complete supplemental item 1"</formula>
    </cfRule>
    <cfRule type="cellIs" dxfId="116" priority="237" operator="equal">
      <formula>"""Go to DOA's website and complete supplemental item 1"""</formula>
    </cfRule>
    <cfRule type="cellIs" dxfId="115" priority="235" operator="equal">
      <formula>"Go to DOA's website and complete supplemental item 1"</formula>
    </cfRule>
  </conditionalFormatting>
  <conditionalFormatting sqref="A261:A266 A269:A274 A289:A291 A293 A295 A300 A302 A377 A379:A384 A387 A389:A392 A401:A405">
    <cfRule type="cellIs" dxfId="114" priority="607" operator="equal">
      <formula>"Answer Required"</formula>
    </cfRule>
  </conditionalFormatting>
  <conditionalFormatting sqref="A308:A309">
    <cfRule type="cellIs" dxfId="113" priority="86" operator="equal">
      <formula>"Answer Required"</formula>
    </cfRule>
  </conditionalFormatting>
  <conditionalFormatting sqref="A312:A336">
    <cfRule type="containsText" dxfId="112" priority="151" operator="containsText" text="Answer Required">
      <formula>NOT(ISERROR(SEARCH("Answer Required",A312)))</formula>
    </cfRule>
  </conditionalFormatting>
  <conditionalFormatting sqref="A338">
    <cfRule type="cellIs" dxfId="111" priority="146" operator="equal">
      <formula>"Answer Required"</formula>
    </cfRule>
  </conditionalFormatting>
  <conditionalFormatting sqref="A341:A368">
    <cfRule type="containsText" dxfId="110" priority="144" operator="containsText" text="Answer Required">
      <formula>NOT(ISERROR(SEARCH("Answer Required",A341)))</formula>
    </cfRule>
  </conditionalFormatting>
  <conditionalFormatting sqref="A412:A413">
    <cfRule type="cellIs" dxfId="109" priority="138" operator="equal">
      <formula>"Answer Required"</formula>
    </cfRule>
  </conditionalFormatting>
  <conditionalFormatting sqref="A420:A421">
    <cfRule type="cellIs" dxfId="108" priority="60" operator="equal">
      <formula>"Answer Required"</formula>
    </cfRule>
  </conditionalFormatting>
  <conditionalFormatting sqref="A431:A434">
    <cfRule type="cellIs" dxfId="107" priority="57" operator="equal">
      <formula>"Answer Required"</formula>
    </cfRule>
  </conditionalFormatting>
  <conditionalFormatting sqref="A437:A444">
    <cfRule type="cellIs" dxfId="106" priority="64" operator="equal">
      <formula>"Answer Required"</formula>
    </cfRule>
  </conditionalFormatting>
  <conditionalFormatting sqref="A449">
    <cfRule type="cellIs" dxfId="105" priority="54" operator="equal">
      <formula>"Answer Required"</formula>
    </cfRule>
  </conditionalFormatting>
  <conditionalFormatting sqref="A455:A459">
    <cfRule type="cellIs" dxfId="104" priority="50" operator="equal">
      <formula>"Answer Required"</formula>
    </cfRule>
  </conditionalFormatting>
  <conditionalFormatting sqref="A463">
    <cfRule type="cellIs" dxfId="103" priority="37" operator="equal">
      <formula>"Answer Required"</formula>
    </cfRule>
  </conditionalFormatting>
  <conditionalFormatting sqref="A467">
    <cfRule type="cellIs" dxfId="102" priority="29" operator="equal">
      <formula>"Answer Required"</formula>
    </cfRule>
  </conditionalFormatting>
  <conditionalFormatting sqref="A470">
    <cfRule type="cellIs" dxfId="101" priority="27" operator="equal">
      <formula>"Answer Required"</formula>
    </cfRule>
  </conditionalFormatting>
  <conditionalFormatting sqref="A476">
    <cfRule type="cellIs" dxfId="100" priority="39" operator="equal">
      <formula>"Answer Required"</formula>
    </cfRule>
  </conditionalFormatting>
  <conditionalFormatting sqref="A478:A482">
    <cfRule type="containsText" dxfId="99" priority="152" operator="containsText" text="Answer Required">
      <formula>NOT(ISERROR(SEARCH("Answer Required",A478)))</formula>
    </cfRule>
  </conditionalFormatting>
  <conditionalFormatting sqref="A484">
    <cfRule type="containsText" priority="36" operator="containsText" text="Answer Required">
      <formula>NOT(ISERROR(SEARCH("Answer Required",A484)))</formula>
    </cfRule>
    <cfRule type="cellIs" dxfId="98" priority="47" operator="equal">
      <formula>"Answer Required"</formula>
    </cfRule>
  </conditionalFormatting>
  <conditionalFormatting sqref="A488:A490">
    <cfRule type="cellIs" dxfId="97" priority="46" operator="equal">
      <formula>"Answer Required"</formula>
    </cfRule>
  </conditionalFormatting>
  <conditionalFormatting sqref="A495">
    <cfRule type="cellIs" dxfId="96" priority="25" operator="equal">
      <formula>"Answer Required"</formula>
    </cfRule>
  </conditionalFormatting>
  <conditionalFormatting sqref="A502:A503">
    <cfRule type="cellIs" dxfId="95" priority="18" operator="equal">
      <formula>"Answer Required"</formula>
    </cfRule>
  </conditionalFormatting>
  <conditionalFormatting sqref="A505:A506">
    <cfRule type="cellIs" dxfId="94" priority="15" operator="equal">
      <formula>"Answer Required"</formula>
    </cfRule>
  </conditionalFormatting>
  <conditionalFormatting sqref="A508">
    <cfRule type="cellIs" dxfId="93" priority="14" operator="equal">
      <formula>"Answer Required"</formula>
    </cfRule>
  </conditionalFormatting>
  <conditionalFormatting sqref="A512">
    <cfRule type="cellIs" dxfId="92" priority="4" operator="equal">
      <formula>"Answer Required"</formula>
    </cfRule>
  </conditionalFormatting>
  <conditionalFormatting sqref="A515">
    <cfRule type="cellIs" dxfId="91" priority="2" operator="equal">
      <formula>"Answer Required"</formula>
    </cfRule>
  </conditionalFormatting>
  <conditionalFormatting sqref="A199:B199">
    <cfRule type="cellIs" dxfId="90" priority="276" operator="equal">
      <formula>"DOA will send a separate communication to obtain this information"</formula>
    </cfRule>
    <cfRule type="cellIs" dxfId="89" priority="270" operator="equal">
      <formula>"Go to DOA's Website and complete supplemental Information #1."</formula>
    </cfRule>
  </conditionalFormatting>
  <conditionalFormatting sqref="A177:C177">
    <cfRule type="cellIs" dxfId="88" priority="91" operator="equal">
      <formula>"Answer Required"</formula>
    </cfRule>
  </conditionalFormatting>
  <conditionalFormatting sqref="A180:C181">
    <cfRule type="cellIs" dxfId="87" priority="73" operator="equal">
      <formula>"Answer Required"</formula>
    </cfRule>
  </conditionalFormatting>
  <conditionalFormatting sqref="A183:C183">
    <cfRule type="cellIs" dxfId="86" priority="89" operator="equal">
      <formula>"Answer Required"</formula>
    </cfRule>
  </conditionalFormatting>
  <conditionalFormatting sqref="A186:C186">
    <cfRule type="cellIs" dxfId="85" priority="88" operator="equal">
      <formula>"Answer Required"</formula>
    </cfRule>
  </conditionalFormatting>
  <conditionalFormatting sqref="A296:C296">
    <cfRule type="cellIs" dxfId="84" priority="77" operator="equal">
      <formula>"Answer Required"</formula>
    </cfRule>
  </conditionalFormatting>
  <conditionalFormatting sqref="A303:C303">
    <cfRule type="cellIs" dxfId="83" priority="74" operator="equal">
      <formula>"Answer Required"</formula>
    </cfRule>
  </conditionalFormatting>
  <conditionalFormatting sqref="A511:C511">
    <cfRule type="cellIs" dxfId="82" priority="3" operator="equal">
      <formula>"Answer Required"</formula>
    </cfRule>
  </conditionalFormatting>
  <conditionalFormatting sqref="A514:C514">
    <cfRule type="cellIs" dxfId="81" priority="6" operator="equal">
      <formula>"Answer Required"</formula>
    </cfRule>
  </conditionalFormatting>
  <conditionalFormatting sqref="B267">
    <cfRule type="cellIs" dxfId="80" priority="87" operator="equal">
      <formula>"Answer Required"</formula>
    </cfRule>
  </conditionalFormatting>
  <conditionalFormatting sqref="B337 B369">
    <cfRule type="cellIs" dxfId="79" priority="738" operator="equal">
      <formula>"Error"</formula>
    </cfRule>
  </conditionalFormatting>
  <conditionalFormatting sqref="B379">
    <cfRule type="cellIs" dxfId="78" priority="70" operator="equal">
      <formula>"Answer Required"</formula>
    </cfRule>
  </conditionalFormatting>
  <conditionalFormatting sqref="B288:C288">
    <cfRule type="cellIs" dxfId="77" priority="80" operator="equal">
      <formula>"Answer Required"</formula>
    </cfRule>
  </conditionalFormatting>
  <conditionalFormatting sqref="B292:C292">
    <cfRule type="cellIs" dxfId="76" priority="79" operator="equal">
      <formula>"Answer Required"</formula>
    </cfRule>
  </conditionalFormatting>
  <conditionalFormatting sqref="B294:C294">
    <cfRule type="cellIs" dxfId="75" priority="78" operator="equal">
      <formula>"Answer Required"</formula>
    </cfRule>
  </conditionalFormatting>
  <conditionalFormatting sqref="B299:C299">
    <cfRule type="cellIs" dxfId="74" priority="76" operator="equal">
      <formula>"Answer Required"</formula>
    </cfRule>
  </conditionalFormatting>
  <conditionalFormatting sqref="B301:C301">
    <cfRule type="cellIs" dxfId="73" priority="75" operator="equal">
      <formula>"Answer Required"</formula>
    </cfRule>
  </conditionalFormatting>
  <conditionalFormatting sqref="B416:C417">
    <cfRule type="cellIs" dxfId="72" priority="84" operator="equal">
      <formula>"Answer Required"</formula>
    </cfRule>
  </conditionalFormatting>
  <conditionalFormatting sqref="B479:C481">
    <cfRule type="containsText" dxfId="71" priority="31" operator="containsText" text="Answer Required">
      <formula>NOT(ISERROR(SEARCH("Answer Required",B479)))</formula>
    </cfRule>
  </conditionalFormatting>
  <conditionalFormatting sqref="C19">
    <cfRule type="cellIs" dxfId="70" priority="117" operator="equal">
      <formula>"Answer Required"</formula>
    </cfRule>
  </conditionalFormatting>
  <conditionalFormatting sqref="C27">
    <cfRule type="cellIs" dxfId="69" priority="116" operator="equal">
      <formula>"Answer Required"</formula>
    </cfRule>
  </conditionalFormatting>
  <conditionalFormatting sqref="C34">
    <cfRule type="cellIs" dxfId="68" priority="115" operator="equal">
      <formula>"Answer Required"</formula>
    </cfRule>
  </conditionalFormatting>
  <conditionalFormatting sqref="C42">
    <cfRule type="cellIs" dxfId="67" priority="114" operator="equal">
      <formula>"Answer Required"</formula>
    </cfRule>
  </conditionalFormatting>
  <conditionalFormatting sqref="C49">
    <cfRule type="cellIs" dxfId="66" priority="113" operator="equal">
      <formula>"Answer Required"</formula>
    </cfRule>
  </conditionalFormatting>
  <conditionalFormatting sqref="C55">
    <cfRule type="cellIs" dxfId="65" priority="112" operator="equal">
      <formula>"Answer Required"</formula>
    </cfRule>
  </conditionalFormatting>
  <conditionalFormatting sqref="C57:C59">
    <cfRule type="cellIs" dxfId="64" priority="110" operator="equal">
      <formula>"Answer Required"</formula>
    </cfRule>
  </conditionalFormatting>
  <conditionalFormatting sqref="C66">
    <cfRule type="cellIs" dxfId="63" priority="156" operator="equal">
      <formula>"Answer Required"</formula>
    </cfRule>
  </conditionalFormatting>
  <conditionalFormatting sqref="C68">
    <cfRule type="cellIs" dxfId="62" priority="160" operator="equal">
      <formula>"Answer Required"</formula>
    </cfRule>
  </conditionalFormatting>
  <conditionalFormatting sqref="C78:C82">
    <cfRule type="cellIs" dxfId="61" priority="109" operator="equal">
      <formula>"Answer Required"</formula>
    </cfRule>
  </conditionalFormatting>
  <conditionalFormatting sqref="C87:C89">
    <cfRule type="cellIs" dxfId="60" priority="108" operator="equal">
      <formula>"Answer Required"</formula>
    </cfRule>
  </conditionalFormatting>
  <conditionalFormatting sqref="C92:C94">
    <cfRule type="cellIs" dxfId="59" priority="107" operator="equal">
      <formula>"Answer Required"</formula>
    </cfRule>
  </conditionalFormatting>
  <conditionalFormatting sqref="C97:C99">
    <cfRule type="cellIs" dxfId="58" priority="106" operator="equal">
      <formula>"Answer Required"</formula>
    </cfRule>
  </conditionalFormatting>
  <conditionalFormatting sqref="C102:C104">
    <cfRule type="cellIs" dxfId="57" priority="105" operator="equal">
      <formula>"Answer Required"</formula>
    </cfRule>
  </conditionalFormatting>
  <conditionalFormatting sqref="C107:C109">
    <cfRule type="cellIs" dxfId="56" priority="104" operator="equal">
      <formula>"Answer Required"</formula>
    </cfRule>
  </conditionalFormatting>
  <conditionalFormatting sqref="C113:C115">
    <cfRule type="cellIs" dxfId="55" priority="103" operator="equal">
      <formula>"Answer Required"</formula>
    </cfRule>
  </conditionalFormatting>
  <conditionalFormatting sqref="C117:C119">
    <cfRule type="cellIs" dxfId="54" priority="102" operator="equal">
      <formula>"Answer Required"</formula>
    </cfRule>
  </conditionalFormatting>
  <conditionalFormatting sqref="C121:C124">
    <cfRule type="cellIs" dxfId="53" priority="101" operator="equal">
      <formula>"Answer Required"</formula>
    </cfRule>
  </conditionalFormatting>
  <conditionalFormatting sqref="C132:C134">
    <cfRule type="cellIs" dxfId="52" priority="100" operator="equal">
      <formula>"Answer Required"</formula>
    </cfRule>
  </conditionalFormatting>
  <conditionalFormatting sqref="C137:C139">
    <cfRule type="cellIs" dxfId="51" priority="99" operator="equal">
      <formula>"Answer Required"</formula>
    </cfRule>
  </conditionalFormatting>
  <conditionalFormatting sqref="C143">
    <cfRule type="cellIs" dxfId="50" priority="98" operator="equal">
      <formula>"Answer Required"</formula>
    </cfRule>
  </conditionalFormatting>
  <conditionalFormatting sqref="C151">
    <cfRule type="cellIs" dxfId="49" priority="97" operator="equal">
      <formula>"Answer Required"</formula>
    </cfRule>
  </conditionalFormatting>
  <conditionalFormatting sqref="C153">
    <cfRule type="cellIs" dxfId="48" priority="96" operator="equal">
      <formula>"Answer Required"</formula>
    </cfRule>
  </conditionalFormatting>
  <conditionalFormatting sqref="C155">
    <cfRule type="cellIs" dxfId="47" priority="95" operator="equal">
      <formula>"Answer Required"</formula>
    </cfRule>
  </conditionalFormatting>
  <conditionalFormatting sqref="C157">
    <cfRule type="cellIs" dxfId="46" priority="94" operator="equal">
      <formula>"Answer Required"</formula>
    </cfRule>
  </conditionalFormatting>
  <conditionalFormatting sqref="C159">
    <cfRule type="cellIs" dxfId="45" priority="93" operator="equal">
      <formula>"Answer Required"</formula>
    </cfRule>
  </conditionalFormatting>
  <conditionalFormatting sqref="C161">
    <cfRule type="cellIs" dxfId="44" priority="92" operator="equal">
      <formula>"Answer Required"</formula>
    </cfRule>
  </conditionalFormatting>
  <conditionalFormatting sqref="C199">
    <cfRule type="cellIs" dxfId="43" priority="83" operator="equal">
      <formula>"Answer Required"</formula>
    </cfRule>
  </conditionalFormatting>
  <conditionalFormatting sqref="C268">
    <cfRule type="cellIs" dxfId="42" priority="82" operator="equal">
      <formula>"Answer Required"</formula>
    </cfRule>
  </conditionalFormatting>
  <conditionalFormatting sqref="C276">
    <cfRule type="cellIs" dxfId="41" priority="81" operator="equal">
      <formula>"Answer Required"</formula>
    </cfRule>
  </conditionalFormatting>
  <conditionalFormatting sqref="C282">
    <cfRule type="cellIs" dxfId="40" priority="72" operator="equal">
      <formula>"Answer Required"</formula>
    </cfRule>
  </conditionalFormatting>
  <conditionalFormatting sqref="C363">
    <cfRule type="cellIs" dxfId="39" priority="26" operator="equal">
      <formula>"Answer Required"</formula>
    </cfRule>
  </conditionalFormatting>
  <conditionalFormatting sqref="C371">
    <cfRule type="cellIs" dxfId="38" priority="71" operator="equal">
      <formula>"Answer Required"</formula>
    </cfRule>
  </conditionalFormatting>
  <conditionalFormatting sqref="C407">
    <cfRule type="cellIs" dxfId="37" priority="85" operator="equal">
      <formula>"Answer Required"</formula>
    </cfRule>
  </conditionalFormatting>
  <conditionalFormatting sqref="C423:C425">
    <cfRule type="containsText" dxfId="36" priority="131" operator="containsText" text="Answer Required">
      <formula>NOT(ISERROR(SEARCH("Answer Required",C423)))</formula>
    </cfRule>
  </conditionalFormatting>
  <conditionalFormatting sqref="C430">
    <cfRule type="containsText" dxfId="35" priority="130" operator="containsText" text="Answer Required">
      <formula>NOT(ISERROR(SEARCH("Answer Required",C430)))</formula>
    </cfRule>
  </conditionalFormatting>
  <conditionalFormatting sqref="C433">
    <cfRule type="containsText" dxfId="34" priority="119" operator="containsText" text="Answer Required">
      <formula>NOT(ISERROR(SEARCH("Answer Required",C433)))</formula>
    </cfRule>
  </conditionalFormatting>
  <conditionalFormatting sqref="C436 C440">
    <cfRule type="containsText" dxfId="33" priority="120" operator="containsText" text="Answer Required">
      <formula>NOT(ISERROR(SEARCH("Answer Required",C436)))</formula>
    </cfRule>
  </conditionalFormatting>
  <conditionalFormatting sqref="C443">
    <cfRule type="containsText" dxfId="32" priority="63" operator="containsText" text="Answer Required">
      <formula>NOT(ISERROR(SEARCH("Answer Required",C443)))</formula>
    </cfRule>
  </conditionalFormatting>
  <conditionalFormatting sqref="C445">
    <cfRule type="containsText" dxfId="31" priority="118" operator="containsText" text="Answer Required">
      <formula>NOT(ISERROR(SEARCH("Answer Required",C445)))</formula>
    </cfRule>
  </conditionalFormatting>
  <conditionalFormatting sqref="C461 C464:C465">
    <cfRule type="cellIs" dxfId="30" priority="49" operator="equal">
      <formula>"Answer Required"</formula>
    </cfRule>
  </conditionalFormatting>
  <conditionalFormatting sqref="C468:C469">
    <cfRule type="cellIs" dxfId="29" priority="30" operator="equal">
      <formula>"Answer Required"</formula>
    </cfRule>
  </conditionalFormatting>
  <conditionalFormatting sqref="C471:C472">
    <cfRule type="cellIs" dxfId="28" priority="28" operator="equal">
      <formula>"Answer Required"</formula>
    </cfRule>
  </conditionalFormatting>
  <conditionalFormatting sqref="C486">
    <cfRule type="containsText" dxfId="27" priority="43" operator="containsText" text="Answer Required">
      <formula>NOT(ISERROR(SEARCH("Answer Required",C486)))</formula>
    </cfRule>
  </conditionalFormatting>
  <conditionalFormatting sqref="C496">
    <cfRule type="containsText" dxfId="26" priority="24" operator="containsText" text="Answer Required">
      <formula>NOT(ISERROR(SEARCH("Answer Required",C496)))</formula>
    </cfRule>
  </conditionalFormatting>
  <conditionalFormatting sqref="C504">
    <cfRule type="containsText" dxfId="25" priority="19" operator="containsText" text="Answer Required">
      <formula>NOT(ISERROR(SEARCH("Answer Required",C504)))</formula>
    </cfRule>
  </conditionalFormatting>
  <conditionalFormatting sqref="C507">
    <cfRule type="containsText" dxfId="24" priority="21" operator="containsText" text="Answer Required">
      <formula>NOT(ISERROR(SEARCH("Answer Required",C507)))</formula>
    </cfRule>
  </conditionalFormatting>
  <conditionalFormatting sqref="C509">
    <cfRule type="containsText" dxfId="23" priority="20" operator="containsText" text="Answer Required">
      <formula>NOT(ISERROR(SEARCH("Answer Required",C509)))</formula>
    </cfRule>
  </conditionalFormatting>
  <conditionalFormatting sqref="C513 C516">
    <cfRule type="containsText" dxfId="22" priority="5" operator="containsText" text="Answer Required">
      <formula>NOT(ISERROR(SEARCH("Answer Required",C513)))</formula>
    </cfRule>
  </conditionalFormatting>
  <conditionalFormatting sqref="D513:XFD513 D516:XFD516">
    <cfRule type="cellIs" dxfId="21" priority="13" operator="equal">
      <formula>"Answer Required"</formula>
    </cfRule>
  </conditionalFormatting>
  <dataValidations count="30">
    <dataValidation type="list" allowBlank="1" showInputMessage="1" showErrorMessage="1" error="Use the drop-down list to enter Yes or No." sqref="A252 A444 A309 A185 A338 A243 A182 A179 A176 A142 A210 A240 A282 A287 A238 A226 A224 A198 A298 A401" xr:uid="{00000000-0002-0000-0E00-000000000000}">
      <formula1>$A$189:$A$190</formula1>
    </dataValidation>
    <dataValidation type="list" allowBlank="1" showInputMessage="1" showErrorMessage="1" error="Use the drop-down list to enter yes, no or N/A." sqref="A302 A300" xr:uid="{00000000-0002-0000-0E00-000001000000}">
      <formula1>$A$189:$A$191</formula1>
    </dataValidation>
    <dataValidation type="list" allowBlank="1" showInputMessage="1" showErrorMessage="1" error="Use the drop-down list to enter yes or no." sqref="D402:D405" xr:uid="{00000000-0002-0000-0E00-000002000000}">
      <formula1>$N$27:$N$28</formula1>
    </dataValidation>
    <dataValidation type="list" allowBlank="1" showInputMessage="1" showErrorMessage="1" error="Use the drop-down list to enter Yes, No, or N/A." sqref="A200:A203 A434 A212:A215 A262:A264 A274 A266 A205 A270:A272 A253:A255 A231 A228 A222 A217 A244:A250 A207:A208 A441 A431 A421" xr:uid="{00000000-0002-0000-0E00-000003000000}">
      <formula1>$A$189:$A$191</formula1>
    </dataValidation>
    <dataValidation type="whole" allowBlank="1" showInputMessage="1" showErrorMessage="1" error="Enter whole number." sqref="B389:B392 B341:B353 B312:B336 B380:B384 B355:B368" xr:uid="{00000000-0002-0000-0E00-000004000000}">
      <formula1>-10000000000000000</formula1>
      <formula2>10000000000000000</formula2>
    </dataValidation>
    <dataValidation type="list" allowBlank="1" showInputMessage="1" showErrorMessage="1" error="Please use drop-down list to select Yes or No" sqref="A395" xr:uid="{00000000-0002-0000-0E00-000005000000}">
      <formula1>$A$189:$A$191</formula1>
    </dataValidation>
    <dataValidation type="list" allowBlank="1" showInputMessage="1" showErrorMessage="1" error="Please use the drop-down list to select Yes or No" sqref="A377 A387 A265 A261 A269 A273" xr:uid="{00000000-0002-0000-0E00-000006000000}">
      <formula1>$A$189:$A$190</formula1>
    </dataValidation>
    <dataValidation allowBlank="1" showInputMessage="1" showErrorMessage="1" error="Enter Yes or No." sqref="B337" xr:uid="{00000000-0002-0000-0E00-000007000000}"/>
    <dataValidation type="list" allowBlank="1" showInputMessage="1" showErrorMessage="1" error="Use the drop-down list to enter yes, no or N/A._x000a_" sqref="A295 A293 A289:A291" xr:uid="{00000000-0002-0000-0E00-000008000000}">
      <formula1>$A$189:$A$191</formula1>
    </dataValidation>
    <dataValidation type="list" allowBlank="1" showInputMessage="1" showErrorMessage="1" error="Use the drop-down list to enter Yes or No" sqref="A101 A121 A112 A23 A91 A30 A96 A86 A72 A62 A52 A45 A38 A15 A116 A67 A488:A490 A484 A476 A502 A508 A495 A512 A515" xr:uid="{00000000-0002-0000-0E00-000009000000}">
      <formula1>$A$189:$A$190</formula1>
    </dataValidation>
    <dataValidation type="list" allowBlank="1" showInputMessage="1" showErrorMessage="1" error="Use the drop-down list to enter yes, no, or N/A." sqref="A233" xr:uid="{00000000-0002-0000-0E00-00000A000000}">
      <formula1>$A$189:$A$191</formula1>
    </dataValidation>
    <dataValidation type="whole" allowBlank="1" showInputMessage="1" showErrorMessage="1" error="Please enter a whole number" sqref="C219" xr:uid="{00000000-0002-0000-0E00-00000B000000}">
      <formula1>-9.99999999999999E+21</formula1>
      <formula2>9.99999999999999E+22</formula2>
    </dataValidation>
    <dataValidation type="whole" allowBlank="1" showInputMessage="1" showErrorMessage="1" error="Please enter a negative whole number" sqref="C168" xr:uid="{00000000-0002-0000-0E00-00000C000000}">
      <formula1>-9.99999999999999E+28</formula1>
      <formula2>0</formula2>
    </dataValidation>
    <dataValidation type="whole" allowBlank="1" showInputMessage="1" showErrorMessage="1" error="Please enter a whole number" sqref="C167" xr:uid="{00000000-0002-0000-0E00-00000D000000}">
      <formula1>-999999999999999000000</formula1>
      <formula2>999999999999999000000</formula2>
    </dataValidation>
    <dataValidation type="whole" allowBlank="1" showInputMessage="1" showErrorMessage="1" error="Enter whole number." sqref="J244:J246 J238:J242 G253:I282" xr:uid="{00000000-0002-0000-0E00-00000E000000}">
      <formula1>-100000000000000000000</formula1>
      <formula2>1000000000000000000</formula2>
    </dataValidation>
    <dataValidation allowBlank="1" showInputMessage="1" showErrorMessage="1" error="Use the drop-down list to enter yes, no, or N/A." sqref="A73:A74" xr:uid="{00000000-0002-0000-0E00-00000F000000}"/>
    <dataValidation type="whole" allowBlank="1" showInputMessage="1" showErrorMessage="1" error="Please enter a whole number." sqref="C57:C59" xr:uid="{00000000-0002-0000-0E00-000010000000}">
      <formula1>-9999999999999</formula1>
      <formula2>9999999999999</formula2>
    </dataValidation>
    <dataValidation type="list" allowBlank="1" showInputMessage="1" showErrorMessage="1" error="Use the drop-down list to enter Yes, No or N/A." sqref="A106" xr:uid="{00000000-0002-0000-0E00-000011000000}">
      <formula1>$A$189:$A$191</formula1>
    </dataValidation>
    <dataValidation type="list" allowBlank="1" showInputMessage="1" showErrorMessage="1" error="Use the drop-down list to enter Yes, No, or N/A" sqref="A126 A162:A163 A160 A158 A156 A131 A152 A150 A136 A154 A503 A505:A506" xr:uid="{00000000-0002-0000-0E00-000012000000}">
      <formula1>$A$189:$A$191</formula1>
    </dataValidation>
    <dataValidation type="list" allowBlank="1" showInputMessage="1" showErrorMessage="1" error="Please use drop-down list to select Yes, No, or N/A" sqref="A402:A405" xr:uid="{00000000-0002-0000-0E00-000013000000}">
      <formula1>$A$189:$A$191</formula1>
    </dataValidation>
    <dataValidation type="list" allowBlank="1" showInputMessage="1" showErrorMessage="1" error="Please use drop-down list to select Yes, No, or N/A." sqref="A370" xr:uid="{00000000-0002-0000-0E00-000014000000}">
      <formula1>$A$189:$A$191</formula1>
    </dataValidation>
    <dataValidation allowBlank="1" showInputMessage="1" showErrorMessage="1" error="Please use the drop-down list to select Yes, No, or N/A" sqref="A312:A336 A341:A368" xr:uid="{00000000-0002-0000-0E00-000015000000}"/>
    <dataValidation type="whole" allowBlank="1" showInputMessage="1" showErrorMessage="1" error="Enter a whole number" sqref="C292" xr:uid="{00000000-0002-0000-0E00-000016000000}">
      <formula1>-9999999999999</formula1>
      <formula2>9999999999999</formula2>
    </dataValidation>
    <dataValidation type="list" allowBlank="1" showInputMessage="1" showErrorMessage="1" error="Use the drop-down list to enter Yes,No, or N/A." sqref="A412:A413" xr:uid="{00000000-0002-0000-0E00-000017000000}">
      <formula1>$A$189:$A$191</formula1>
    </dataValidation>
    <dataValidation type="whole" allowBlank="1" showInputMessage="1" showErrorMessage="1" error="Enter a whole number." sqref="B423:B425 B436 A458:A459" xr:uid="{00000000-0002-0000-0E00-000018000000}">
      <formula1>-9999999999999</formula1>
      <formula2>9999999999999</formula2>
    </dataValidation>
    <dataValidation allowBlank="1" showInputMessage="1" showErrorMessage="1" error="Please use drop-down list to select Yes, No, or N/A" sqref="A378:A384 A388:A392" xr:uid="{00000000-0002-0000-0E00-000019000000}"/>
    <dataValidation type="list" allowBlank="1" showInputMessage="1" showErrorMessage="1" error="Enter Yes or No." sqref="A455:A456 A463 A467 A470" xr:uid="{00000000-0002-0000-0E00-00001A000000}">
      <formula1>$A$189:$A$190</formula1>
    </dataValidation>
    <dataValidation type="list" allowBlank="1" showInputMessage="1" showErrorMessage="1" error="Use the drop-down list to enter yes or no" sqref="A457" xr:uid="{00000000-0002-0000-0E00-00001B000000}">
      <formula1>$A$189:$A$190</formula1>
    </dataValidation>
    <dataValidation type="whole" allowBlank="1" showInputMessage="1" showErrorMessage="1" error="Enter a whole number" sqref="A482 A478 B479:B481" xr:uid="{00000000-0002-0000-0E00-00001C000000}">
      <formula1>-999999999999999</formula1>
      <formula2>9999999999999</formula2>
    </dataValidation>
    <dataValidation allowBlank="1" showInputMessage="1" showErrorMessage="1" error="Use the drop-down list to enter Yes or No" sqref="A478:A482 B479:B481" xr:uid="{00000000-0002-0000-0E00-00001D000000}"/>
  </dataValidations>
  <pageMargins left="0.75" right="0.25" top="0.76" bottom="0.45" header="0.3" footer="0.26"/>
  <pageSetup scale="70" fitToHeight="0" orientation="portrait" r:id="rId6"/>
  <headerFooter alignWithMargins="0">
    <oddHeader>&amp;C&amp;"Times New Roman,Bold"Attachment CU4
Financial Statement Template (FST)
&amp;A</oddHeader>
    <oddFooter>&amp;L&amp;"Times New Roman,Regular"&amp;F \ &amp;A&amp;RPage &amp;P</oddFooter>
  </headerFooter>
  <rowBreaks count="12" manualBreakCount="12">
    <brk id="60" max="2" man="1"/>
    <brk id="140" max="2" man="1"/>
    <brk id="306" max="2" man="1"/>
    <brk id="337" max="2" man="1"/>
    <brk id="409" max="2" man="1"/>
    <brk id="418" max="2" man="1"/>
    <brk id="447" max="2" man="1"/>
    <brk id="472" max="2" man="1"/>
    <brk id="499" max="2" man="1"/>
    <brk id="510" max="2" man="1"/>
    <brk id="578" max="16383" man="1"/>
    <brk id="593" max="16383" man="1"/>
  </rowBreaks>
  <ignoredErrors>
    <ignoredError sqref="C143" unlockedFormula="1"/>
  </ignoredErrors>
  <legacyDrawing r:id="rId7"/>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O104"/>
  <sheetViews>
    <sheetView showGridLines="0" zoomScaleNormal="100" zoomScaleSheetLayoutView="85" workbookViewId="0">
      <selection activeCell="B3" sqref="B3:J3"/>
    </sheetView>
  </sheetViews>
  <sheetFormatPr defaultColWidth="9.140625" defaultRowHeight="12.75"/>
  <cols>
    <col min="1" max="1" width="32.42578125" customWidth="1"/>
    <col min="2" max="2" width="1.5703125" customWidth="1"/>
    <col min="3" max="3" width="2.28515625" customWidth="1"/>
    <col min="4" max="4" width="15.28515625" customWidth="1"/>
    <col min="5" max="6" width="2.28515625" customWidth="1"/>
    <col min="7" max="7" width="15.85546875" customWidth="1"/>
    <col min="8" max="9" width="2.28515625" customWidth="1"/>
    <col min="10" max="10" width="17.28515625" customWidth="1"/>
    <col min="11" max="11" width="1.140625" customWidth="1"/>
    <col min="12" max="12" width="2.28515625" customWidth="1"/>
    <col min="13" max="14" width="17.140625" customWidth="1"/>
  </cols>
  <sheetData>
    <row r="1" spans="1:14">
      <c r="A1" s="183" t="s">
        <v>507</v>
      </c>
      <c r="B1" s="1453" t="str">
        <f>'Component Unit Template'!G1</f>
        <v/>
      </c>
      <c r="C1" s="1614"/>
      <c r="D1" s="1614"/>
      <c r="E1" s="1614"/>
      <c r="F1" s="1614"/>
      <c r="G1" s="1614"/>
      <c r="H1" s="1614"/>
      <c r="I1" s="1614"/>
      <c r="J1" s="1614"/>
      <c r="K1" s="80"/>
      <c r="L1" s="80"/>
      <c r="M1" s="81"/>
      <c r="N1" s="80"/>
    </row>
    <row r="2" spans="1:14" ht="24" customHeight="1">
      <c r="A2" s="183" t="s">
        <v>528</v>
      </c>
      <c r="B2" s="1453" t="str">
        <f>IF('Component Unit Template'!G2="","",'Component Unit Template'!G2)</f>
        <v/>
      </c>
      <c r="C2" s="1614"/>
      <c r="D2" s="1614"/>
      <c r="E2" s="1614"/>
      <c r="F2" s="1614"/>
      <c r="G2" s="1614"/>
      <c r="H2" s="1614"/>
      <c r="I2" s="1614"/>
      <c r="J2" s="1614"/>
      <c r="K2" s="2"/>
      <c r="L2" s="2"/>
      <c r="M2" s="2"/>
      <c r="N2" s="2"/>
    </row>
    <row r="3" spans="1:14">
      <c r="A3" s="183" t="s">
        <v>586</v>
      </c>
      <c r="B3" s="1437" t="str">
        <f>IF('Component Unit Template'!G3="","",'Component Unit Template'!G3)</f>
        <v/>
      </c>
      <c r="C3" s="1615"/>
      <c r="D3" s="1615"/>
      <c r="E3" s="1615"/>
      <c r="F3" s="1615"/>
      <c r="G3" s="1615"/>
      <c r="H3" s="1615"/>
      <c r="I3" s="1615"/>
      <c r="J3" s="1615"/>
      <c r="K3" s="2"/>
      <c r="L3" s="2"/>
      <c r="M3" s="2"/>
      <c r="N3" s="2"/>
    </row>
    <row r="4" spans="1:14">
      <c r="A4" s="183" t="s">
        <v>315</v>
      </c>
      <c r="B4" s="1439" t="str">
        <f>IF('Component Unit Template'!G4="","",'Component Unit Template'!G4)</f>
        <v/>
      </c>
      <c r="C4" s="1616"/>
      <c r="D4" s="1616"/>
      <c r="E4" s="1616"/>
      <c r="F4" s="1616"/>
      <c r="G4" s="1616"/>
      <c r="H4" s="1616"/>
      <c r="I4" s="1616"/>
      <c r="J4" s="1616"/>
      <c r="K4" s="2"/>
      <c r="L4" s="2"/>
      <c r="M4" s="2"/>
      <c r="N4" s="2"/>
    </row>
    <row r="5" spans="1:14">
      <c r="A5" s="183" t="s">
        <v>677</v>
      </c>
      <c r="B5" s="1441" t="str">
        <f>IF('Component Unit Template'!G5="","",'Component Unit Template'!G5)</f>
        <v/>
      </c>
      <c r="C5" s="1615"/>
      <c r="D5" s="1615"/>
      <c r="E5" s="1615"/>
      <c r="F5" s="1615"/>
      <c r="G5" s="1615"/>
      <c r="H5" s="1615"/>
      <c r="I5" s="1615"/>
      <c r="J5" s="1615"/>
      <c r="K5" s="2"/>
      <c r="L5" s="2"/>
      <c r="M5" s="2"/>
      <c r="N5" s="2"/>
    </row>
    <row r="6" spans="1:14">
      <c r="A6" s="183" t="s">
        <v>36</v>
      </c>
      <c r="B6" s="1450" t="str">
        <f>IF('Component Unit Template'!G6="","",'Component Unit Template'!G6)</f>
        <v/>
      </c>
      <c r="C6" s="1613"/>
      <c r="D6" s="1613"/>
      <c r="E6" s="1613"/>
      <c r="F6" s="1613"/>
      <c r="G6" s="1613"/>
      <c r="H6" s="1613"/>
      <c r="I6" s="1613"/>
      <c r="J6" s="1613"/>
      <c r="K6" s="2"/>
      <c r="L6" s="2"/>
      <c r="M6" s="2"/>
      <c r="N6" s="2"/>
    </row>
    <row r="7" spans="1:14">
      <c r="A7" s="84"/>
      <c r="B7" s="84"/>
      <c r="C7" s="84"/>
      <c r="D7" s="85"/>
      <c r="E7" s="84"/>
      <c r="F7" s="84"/>
      <c r="G7" s="85"/>
      <c r="H7" s="82"/>
      <c r="I7" s="82"/>
      <c r="J7" s="173"/>
      <c r="K7" s="84"/>
      <c r="L7" s="84"/>
      <c r="M7" s="85"/>
      <c r="N7" s="84"/>
    </row>
    <row r="8" spans="1:14">
      <c r="A8" s="118" t="str">
        <f>'Component Unit Template'!A35</f>
        <v>For the Year Ended June 30, 2024</v>
      </c>
      <c r="B8" s="84"/>
      <c r="C8" s="84"/>
      <c r="D8" s="85"/>
      <c r="E8" s="84"/>
      <c r="F8" s="84"/>
      <c r="G8" s="85"/>
      <c r="H8" s="82"/>
      <c r="I8" s="82"/>
      <c r="J8" s="173"/>
      <c r="K8" s="84"/>
      <c r="L8" s="84"/>
      <c r="M8" s="85"/>
      <c r="N8" s="84"/>
    </row>
    <row r="9" spans="1:14">
      <c r="B9" s="84"/>
      <c r="C9" s="84"/>
      <c r="D9" s="85"/>
      <c r="E9" s="84"/>
      <c r="F9" s="84"/>
      <c r="G9" s="85"/>
      <c r="H9" s="84"/>
      <c r="I9" s="84"/>
      <c r="J9" s="85"/>
      <c r="K9" s="84"/>
      <c r="L9" s="84"/>
      <c r="M9" s="85"/>
      <c r="N9" s="84"/>
    </row>
    <row r="10" spans="1:14">
      <c r="A10" s="86" t="s">
        <v>1564</v>
      </c>
      <c r="B10" s="82"/>
      <c r="C10" s="82"/>
      <c r="D10" s="83"/>
      <c r="E10" s="82"/>
      <c r="F10" s="82"/>
      <c r="G10" s="83"/>
      <c r="H10" s="82"/>
      <c r="I10" s="82"/>
      <c r="J10" s="83"/>
      <c r="K10" s="82"/>
      <c r="L10" s="82"/>
      <c r="M10" s="83"/>
      <c r="N10" s="82"/>
    </row>
    <row r="11" spans="1:14">
      <c r="A11" s="821" t="s">
        <v>1639</v>
      </c>
      <c r="B11" s="82"/>
      <c r="C11" s="82"/>
      <c r="D11" s="83"/>
      <c r="E11" s="82"/>
      <c r="F11" s="82"/>
      <c r="G11" s="83"/>
      <c r="H11" s="82"/>
      <c r="I11" s="82"/>
      <c r="J11" s="83"/>
      <c r="K11" s="82"/>
      <c r="L11" s="82"/>
      <c r="M11" s="83"/>
      <c r="N11" s="82"/>
    </row>
    <row r="12" spans="1:14">
      <c r="A12" s="821"/>
      <c r="B12" s="82"/>
      <c r="C12" s="82"/>
      <c r="D12" s="83"/>
      <c r="E12" s="82"/>
      <c r="F12" s="82"/>
      <c r="G12" s="83"/>
      <c r="H12" s="82"/>
      <c r="I12" s="82"/>
      <c r="J12" s="83"/>
      <c r="K12" s="82"/>
      <c r="L12" s="82"/>
      <c r="M12" s="83"/>
      <c r="N12" s="82"/>
    </row>
    <row r="13" spans="1:14">
      <c r="A13" s="87" t="s">
        <v>1575</v>
      </c>
      <c r="B13" s="88"/>
      <c r="C13" s="88"/>
      <c r="D13" s="89"/>
      <c r="E13" s="88"/>
      <c r="F13" s="88"/>
      <c r="G13" s="89"/>
      <c r="H13" s="88"/>
      <c r="I13" s="88"/>
      <c r="J13" s="89"/>
      <c r="K13" s="88"/>
      <c r="L13" s="88"/>
      <c r="M13" s="89"/>
      <c r="N13" s="82"/>
    </row>
    <row r="14" spans="1:14">
      <c r="A14" s="88"/>
      <c r="B14" s="88"/>
      <c r="C14" s="88"/>
      <c r="D14" s="89"/>
      <c r="E14" s="88"/>
      <c r="F14" s="88"/>
      <c r="G14" s="89"/>
      <c r="H14" s="88"/>
      <c r="I14" s="88"/>
      <c r="J14" s="89"/>
      <c r="K14" s="88"/>
      <c r="L14" s="88"/>
      <c r="M14" s="89"/>
      <c r="N14" s="82"/>
    </row>
    <row r="15" spans="1:14">
      <c r="A15" s="88" t="s">
        <v>1478</v>
      </c>
      <c r="B15" s="88"/>
      <c r="C15" s="88"/>
      <c r="D15" s="89"/>
      <c r="E15" s="88"/>
      <c r="F15" s="88"/>
      <c r="G15" s="89"/>
      <c r="H15" s="88"/>
      <c r="I15" s="88"/>
      <c r="J15" s="89"/>
      <c r="K15" s="88"/>
      <c r="L15" s="88"/>
      <c r="M15" s="89"/>
      <c r="N15" s="82"/>
    </row>
    <row r="16" spans="1:14">
      <c r="A16" s="88" t="s">
        <v>1563</v>
      </c>
      <c r="B16" s="88"/>
      <c r="C16" s="88"/>
      <c r="D16" s="89"/>
      <c r="E16" s="88"/>
      <c r="F16" s="88"/>
      <c r="G16" s="89"/>
      <c r="H16" s="88"/>
      <c r="I16" s="88"/>
      <c r="J16" s="90" t="s">
        <v>833</v>
      </c>
      <c r="K16" s="88"/>
      <c r="L16" s="88"/>
      <c r="M16" s="380" t="s">
        <v>752</v>
      </c>
      <c r="N16" s="82"/>
    </row>
    <row r="17" spans="1:14">
      <c r="A17" s="91"/>
      <c r="B17" s="88"/>
      <c r="C17" s="88"/>
      <c r="D17" s="89"/>
      <c r="E17" s="88"/>
      <c r="F17" s="88"/>
      <c r="G17" s="89"/>
      <c r="H17" s="88"/>
      <c r="I17" s="88"/>
      <c r="J17" s="89"/>
      <c r="K17" s="88"/>
      <c r="L17" s="88"/>
      <c r="M17" s="89"/>
      <c r="N17" s="82"/>
    </row>
    <row r="18" spans="1:14" ht="36.75" customHeight="1">
      <c r="A18" s="1609" t="s">
        <v>1349</v>
      </c>
      <c r="B18" s="1349"/>
      <c r="C18" s="1349"/>
      <c r="D18" s="1349"/>
      <c r="E18" s="1349"/>
      <c r="F18" s="1349"/>
      <c r="G18" s="1349"/>
      <c r="H18" s="1349"/>
      <c r="I18" s="1349"/>
      <c r="J18" s="1349"/>
      <c r="K18" s="1349"/>
      <c r="L18" s="1349"/>
      <c r="M18" s="1349"/>
      <c r="N18" s="82"/>
    </row>
    <row r="19" spans="1:14" ht="63" customHeight="1">
      <c r="A19" s="1610" t="str">
        <f>IF(M16="Yes","Answer Required","N/A")</f>
        <v>N/A</v>
      </c>
      <c r="B19" s="1611"/>
      <c r="C19" s="1611"/>
      <c r="D19" s="1611"/>
      <c r="E19" s="1611"/>
      <c r="F19" s="1611"/>
      <c r="G19" s="1611"/>
      <c r="H19" s="1611"/>
      <c r="I19" s="1611"/>
      <c r="J19" s="1611"/>
      <c r="K19" s="1611"/>
      <c r="L19" s="1611"/>
      <c r="M19" s="1612"/>
      <c r="N19" s="82"/>
    </row>
    <row r="20" spans="1:14">
      <c r="A20" s="88"/>
      <c r="B20" s="88"/>
      <c r="C20" s="88"/>
      <c r="D20" s="89"/>
      <c r="E20" s="88"/>
      <c r="F20" s="88"/>
      <c r="G20" s="89"/>
      <c r="H20" s="88"/>
      <c r="I20" s="88"/>
      <c r="J20" s="89"/>
      <c r="K20" s="88"/>
      <c r="L20" s="88"/>
      <c r="M20" s="89"/>
      <c r="N20" s="82"/>
    </row>
    <row r="21" spans="1:14">
      <c r="A21" s="88" t="s">
        <v>442</v>
      </c>
      <c r="B21" s="88"/>
      <c r="C21" s="88"/>
      <c r="D21" s="89"/>
      <c r="E21" s="88"/>
      <c r="F21" s="88"/>
      <c r="G21" s="89"/>
      <c r="H21" s="88"/>
      <c r="I21" s="88"/>
      <c r="J21" s="89"/>
      <c r="K21" s="88"/>
      <c r="L21" s="88"/>
      <c r="M21" s="89"/>
      <c r="N21" s="82"/>
    </row>
    <row r="22" spans="1:14">
      <c r="A22" s="88" t="s">
        <v>443</v>
      </c>
      <c r="B22" s="88"/>
      <c r="C22" s="88"/>
      <c r="D22" s="89"/>
      <c r="E22" s="88"/>
      <c r="F22" s="88"/>
      <c r="G22" s="89"/>
      <c r="H22" s="88"/>
      <c r="I22" s="88"/>
      <c r="J22" s="90" t="s">
        <v>833</v>
      </c>
      <c r="K22" s="88"/>
      <c r="L22" s="88"/>
      <c r="M22" s="58" t="str">
        <f>IF($M$16="Yes","Answer Required","N/A")</f>
        <v>N/A</v>
      </c>
      <c r="N22" s="82"/>
    </row>
    <row r="23" spans="1:14">
      <c r="A23" s="88" t="s">
        <v>1449</v>
      </c>
      <c r="B23" s="88"/>
      <c r="C23" s="88"/>
      <c r="D23" s="89"/>
      <c r="E23" s="88"/>
      <c r="F23" s="88"/>
      <c r="G23" s="89"/>
      <c r="H23" s="88"/>
      <c r="I23" s="88"/>
      <c r="J23" s="92"/>
      <c r="K23" s="88"/>
      <c r="L23" s="88"/>
      <c r="M23" s="93"/>
      <c r="N23" s="82"/>
    </row>
    <row r="24" spans="1:14">
      <c r="A24" s="88"/>
      <c r="B24" s="88"/>
      <c r="C24" s="88"/>
      <c r="D24" s="89"/>
      <c r="E24" s="88"/>
      <c r="F24" s="88"/>
      <c r="G24" s="89"/>
      <c r="H24" s="88"/>
      <c r="I24" s="88"/>
      <c r="J24" s="92"/>
      <c r="K24" s="88"/>
      <c r="L24" s="88"/>
      <c r="M24" s="93"/>
      <c r="N24" s="88"/>
    </row>
    <row r="25" spans="1:14" ht="12" customHeight="1">
      <c r="A25" s="88"/>
      <c r="B25" s="88"/>
      <c r="C25" s="88"/>
      <c r="D25" s="89"/>
      <c r="E25" s="88"/>
      <c r="F25" s="88"/>
      <c r="G25" s="89"/>
      <c r="H25" s="88"/>
      <c r="I25" s="88"/>
      <c r="J25" s="92"/>
      <c r="K25" s="88"/>
      <c r="L25" s="88"/>
      <c r="M25" s="93"/>
      <c r="N25" s="88"/>
    </row>
    <row r="26" spans="1:14">
      <c r="A26" s="88" t="s">
        <v>444</v>
      </c>
      <c r="B26" s="88"/>
      <c r="C26" s="88"/>
      <c r="D26" s="89"/>
      <c r="E26" s="88"/>
      <c r="F26" s="88"/>
      <c r="G26" s="89"/>
      <c r="H26" s="88"/>
      <c r="I26" s="88"/>
      <c r="J26" s="90" t="s">
        <v>833</v>
      </c>
      <c r="K26" s="88"/>
      <c r="L26" s="88"/>
      <c r="M26" s="58" t="str">
        <f>IF(AND($M$16="Yes",$M$22="Yes"),"Answer Required","N/A")</f>
        <v>N/A</v>
      </c>
      <c r="N26" s="88"/>
    </row>
    <row r="27" spans="1:14">
      <c r="A27" s="88" t="s">
        <v>909</v>
      </c>
      <c r="B27" s="88"/>
      <c r="C27" s="88"/>
      <c r="D27" s="89"/>
      <c r="E27" s="88"/>
      <c r="F27" s="88"/>
      <c r="G27" s="89"/>
      <c r="H27" s="88"/>
      <c r="I27" s="88"/>
      <c r="J27" s="89"/>
      <c r="K27" s="88"/>
      <c r="L27" s="88"/>
      <c r="M27" s="89"/>
      <c r="N27" s="88"/>
    </row>
    <row r="28" spans="1:14">
      <c r="A28" s="88"/>
      <c r="B28" s="88"/>
      <c r="C28" s="88"/>
      <c r="D28" s="89"/>
      <c r="E28" s="88"/>
      <c r="F28" s="88"/>
      <c r="G28" s="89"/>
      <c r="H28" s="88"/>
      <c r="I28" s="88"/>
      <c r="J28" s="89"/>
      <c r="K28" s="88"/>
      <c r="L28" s="88"/>
      <c r="M28" s="89"/>
      <c r="N28" s="88"/>
    </row>
    <row r="29" spans="1:14">
      <c r="A29" s="88" t="s">
        <v>1565</v>
      </c>
      <c r="B29" s="88"/>
      <c r="C29" s="88"/>
      <c r="D29" s="89"/>
      <c r="E29" s="88"/>
      <c r="F29" s="88"/>
      <c r="G29" s="89"/>
      <c r="H29" s="88"/>
      <c r="I29" s="88"/>
      <c r="J29" s="93"/>
      <c r="K29" s="88"/>
      <c r="L29" s="88"/>
      <c r="M29" s="93"/>
      <c r="N29" s="88"/>
    </row>
    <row r="30" spans="1:14">
      <c r="A30" s="88" t="s">
        <v>1566</v>
      </c>
      <c r="B30" s="88"/>
      <c r="C30" s="88"/>
      <c r="D30" s="89"/>
      <c r="E30" s="88"/>
      <c r="F30" s="88"/>
      <c r="G30" s="89"/>
      <c r="H30" s="88"/>
      <c r="I30" s="88"/>
      <c r="J30" s="90" t="s">
        <v>833</v>
      </c>
      <c r="K30" s="88"/>
      <c r="L30" s="88"/>
      <c r="M30" s="58" t="str">
        <f>IF(AND($M$16="Yes",$M$22="Yes",$M$26="Yes"),"Answer Required","N/A")</f>
        <v>N/A</v>
      </c>
      <c r="N30" s="88"/>
    </row>
    <row r="31" spans="1:14">
      <c r="A31" s="88"/>
      <c r="B31" s="88"/>
      <c r="C31" s="88"/>
      <c r="D31" s="89"/>
      <c r="E31" s="88"/>
      <c r="F31" s="88"/>
      <c r="G31" s="89"/>
      <c r="H31" s="88"/>
      <c r="I31" s="88"/>
      <c r="J31" s="89"/>
      <c r="K31" s="88"/>
      <c r="L31" s="88"/>
      <c r="M31" s="93"/>
      <c r="N31" s="88"/>
    </row>
    <row r="32" spans="1:14">
      <c r="A32" s="88"/>
      <c r="B32" s="88"/>
      <c r="C32" s="88"/>
      <c r="D32" s="89"/>
      <c r="E32" s="88"/>
      <c r="F32" s="88"/>
      <c r="G32" s="89"/>
      <c r="H32" s="88"/>
      <c r="I32" s="88"/>
      <c r="J32" s="89"/>
      <c r="K32" s="88"/>
      <c r="L32" s="88"/>
      <c r="M32" s="93"/>
      <c r="N32" s="88"/>
    </row>
    <row r="33" spans="1:15">
      <c r="A33" s="88" t="s">
        <v>1437</v>
      </c>
      <c r="B33" s="88"/>
      <c r="C33" s="88"/>
      <c r="D33" s="89"/>
      <c r="E33" s="88"/>
      <c r="F33" s="88"/>
      <c r="G33" s="89"/>
      <c r="H33" s="88"/>
      <c r="I33" s="88"/>
      <c r="J33" s="89"/>
      <c r="K33" s="88"/>
      <c r="L33" s="88"/>
      <c r="M33" s="89"/>
      <c r="N33" s="88"/>
    </row>
    <row r="34" spans="1:15">
      <c r="A34" s="88" t="s">
        <v>1859</v>
      </c>
      <c r="B34" s="88"/>
      <c r="C34" s="88"/>
      <c r="D34" s="89"/>
      <c r="E34" s="88"/>
      <c r="F34" s="88"/>
      <c r="G34" s="89"/>
      <c r="H34" s="88"/>
      <c r="I34" s="88"/>
      <c r="J34" s="89"/>
      <c r="K34" s="88"/>
      <c r="L34" s="88"/>
      <c r="M34" s="89"/>
      <c r="N34" s="88"/>
    </row>
    <row r="35" spans="1:15" ht="67.5">
      <c r="A35" s="88"/>
      <c r="B35" s="88"/>
      <c r="C35" s="88"/>
      <c r="D35" s="89"/>
      <c r="E35" s="88"/>
      <c r="F35" s="88"/>
      <c r="G35" s="811" t="s">
        <v>1438</v>
      </c>
      <c r="H35" s="88"/>
      <c r="I35" s="88"/>
      <c r="J35" s="94" t="s">
        <v>1350</v>
      </c>
      <c r="K35" s="88"/>
      <c r="L35" s="88"/>
      <c r="M35" s="94" t="s">
        <v>1352</v>
      </c>
      <c r="N35" s="94" t="s">
        <v>1353</v>
      </c>
    </row>
    <row r="36" spans="1:15">
      <c r="A36" s="88"/>
      <c r="B36" s="88"/>
      <c r="C36" s="88"/>
      <c r="D36" s="89"/>
      <c r="E36" s="88"/>
      <c r="F36" s="88"/>
      <c r="G36" s="90" t="s">
        <v>105</v>
      </c>
      <c r="H36" s="88"/>
      <c r="I36" s="88"/>
      <c r="J36" s="11"/>
      <c r="K36" s="88"/>
      <c r="L36" s="88"/>
      <c r="M36" s="11"/>
      <c r="N36" s="233">
        <f>J36+M36</f>
        <v>0</v>
      </c>
    </row>
    <row r="37" spans="1:15">
      <c r="A37" s="88"/>
      <c r="B37" s="88"/>
      <c r="C37" s="88"/>
      <c r="D37" s="89"/>
      <c r="E37" s="88"/>
      <c r="F37" s="88"/>
      <c r="G37" s="90" t="s">
        <v>106</v>
      </c>
      <c r="H37" s="88"/>
      <c r="I37" s="88"/>
      <c r="J37" s="11"/>
      <c r="K37" s="88"/>
      <c r="L37" s="88"/>
      <c r="M37" s="11"/>
      <c r="N37" s="233">
        <f t="shared" ref="N37:N39" si="0">J37+M37</f>
        <v>0</v>
      </c>
    </row>
    <row r="38" spans="1:15">
      <c r="A38" s="88"/>
      <c r="B38" s="88"/>
      <c r="C38" s="88"/>
      <c r="D38" s="89"/>
      <c r="E38" s="88"/>
      <c r="F38" s="88"/>
      <c r="G38" s="90" t="s">
        <v>107</v>
      </c>
      <c r="H38" s="88"/>
      <c r="I38" s="88"/>
      <c r="J38" s="11"/>
      <c r="K38" s="88"/>
      <c r="L38" s="88"/>
      <c r="M38" s="11"/>
      <c r="N38" s="233">
        <f t="shared" si="0"/>
        <v>0</v>
      </c>
    </row>
    <row r="39" spans="1:15" ht="14.25">
      <c r="A39" s="88"/>
      <c r="B39" s="88"/>
      <c r="C39" s="88"/>
      <c r="D39" s="89"/>
      <c r="E39" s="88"/>
      <c r="F39" s="88"/>
      <c r="G39" s="90" t="s">
        <v>52</v>
      </c>
      <c r="H39" s="88"/>
      <c r="I39" s="88"/>
      <c r="J39" s="11"/>
      <c r="K39" s="88"/>
      <c r="L39" s="88"/>
      <c r="M39" s="11"/>
      <c r="N39" s="233">
        <f t="shared" si="0"/>
        <v>0</v>
      </c>
    </row>
    <row r="40" spans="1:15">
      <c r="A40" s="88"/>
      <c r="B40" s="88"/>
      <c r="C40" s="88"/>
      <c r="D40" s="89"/>
      <c r="E40" s="88"/>
      <c r="F40" s="88"/>
      <c r="G40" s="90"/>
      <c r="H40" s="88"/>
      <c r="I40" s="88"/>
      <c r="J40" s="253"/>
      <c r="K40" s="88"/>
      <c r="L40" s="88"/>
      <c r="M40" s="110" t="s">
        <v>1351</v>
      </c>
      <c r="N40" s="88"/>
    </row>
    <row r="41" spans="1:15" s="812" customFormat="1" ht="12.6" customHeight="1">
      <c r="D41" s="161"/>
      <c r="G41" s="813"/>
      <c r="J41" s="253"/>
      <c r="M41" s="814"/>
      <c r="N41" s="814"/>
      <c r="O41" s="815"/>
    </row>
    <row r="42" spans="1:15" s="812" customFormat="1" ht="12.6" customHeight="1">
      <c r="A42" s="86" t="s">
        <v>746</v>
      </c>
      <c r="D42" s="161"/>
      <c r="G42" s="813"/>
      <c r="J42" s="253"/>
      <c r="M42" s="814"/>
      <c r="N42" s="814"/>
      <c r="O42" s="815"/>
    </row>
    <row r="43" spans="1:15" s="812" customFormat="1" ht="12.6" customHeight="1">
      <c r="A43" s="2" t="s">
        <v>108</v>
      </c>
      <c r="D43" s="161"/>
      <c r="G43" s="813"/>
      <c r="J43" s="253"/>
      <c r="M43" s="814"/>
      <c r="N43" s="814"/>
      <c r="O43" s="815"/>
    </row>
    <row r="44" spans="1:15" s="812" customFormat="1" ht="12.6" customHeight="1">
      <c r="A44" s="109" t="s">
        <v>747</v>
      </c>
      <c r="D44" s="161"/>
      <c r="G44" s="813"/>
      <c r="J44" s="253"/>
      <c r="M44" s="814"/>
      <c r="N44" s="814"/>
      <c r="O44" s="815"/>
    </row>
    <row r="45" spans="1:15" s="812" customFormat="1" ht="12.6" customHeight="1">
      <c r="A45" s="109" t="s">
        <v>1860</v>
      </c>
      <c r="D45" s="161"/>
      <c r="G45" s="813"/>
      <c r="J45" s="253"/>
      <c r="M45" s="814"/>
      <c r="N45" s="814"/>
      <c r="O45" s="815"/>
    </row>
    <row r="46" spans="1:15" s="812" customFormat="1" ht="12.6" customHeight="1">
      <c r="A46" s="2" t="s">
        <v>1569</v>
      </c>
      <c r="D46" s="161"/>
      <c r="G46" s="813"/>
      <c r="J46" s="253"/>
      <c r="M46" s="814"/>
      <c r="N46" s="814"/>
      <c r="O46" s="815"/>
    </row>
    <row r="47" spans="1:15" s="812" customFormat="1" ht="12.6" customHeight="1">
      <c r="D47" s="161"/>
      <c r="G47" s="813"/>
      <c r="J47" s="253"/>
      <c r="M47" s="814"/>
      <c r="N47" s="814"/>
      <c r="O47" s="815"/>
    </row>
    <row r="48" spans="1:15" s="812" customFormat="1" ht="12.6" customHeight="1">
      <c r="D48" s="161"/>
      <c r="G48" s="813"/>
      <c r="J48" s="253"/>
      <c r="M48" s="814"/>
      <c r="N48" s="814"/>
      <c r="O48" s="815"/>
    </row>
    <row r="49" spans="1:15" s="812" customFormat="1" ht="12.6" customHeight="1">
      <c r="A49" s="812" t="s">
        <v>1570</v>
      </c>
      <c r="D49" s="161"/>
      <c r="G49" s="813"/>
      <c r="J49" s="253"/>
      <c r="M49" s="814"/>
      <c r="N49" s="814"/>
      <c r="O49" s="815"/>
    </row>
    <row r="50" spans="1:15" s="812" customFormat="1" ht="12.6" customHeight="1">
      <c r="A50" s="812" t="s">
        <v>1405</v>
      </c>
      <c r="D50" s="161"/>
      <c r="G50" s="813"/>
      <c r="J50" s="253"/>
      <c r="M50" s="814"/>
      <c r="N50" s="814"/>
      <c r="O50" s="815"/>
    </row>
    <row r="51" spans="1:15" s="812" customFormat="1" ht="12.6" customHeight="1">
      <c r="D51" s="161"/>
      <c r="G51" s="813"/>
      <c r="J51" s="253"/>
      <c r="M51" s="814"/>
      <c r="N51" s="814"/>
      <c r="O51" s="815"/>
    </row>
    <row r="52" spans="1:15" s="812" customFormat="1" ht="9.75" customHeight="1">
      <c r="D52" s="161"/>
      <c r="G52" s="813"/>
      <c r="I52" s="816"/>
      <c r="J52" s="817"/>
      <c r="M52" s="814"/>
      <c r="N52" s="814"/>
      <c r="O52" s="815"/>
    </row>
    <row r="53" spans="1:15" s="812" customFormat="1" ht="12.6" customHeight="1">
      <c r="D53" s="161"/>
      <c r="G53" s="819"/>
      <c r="I53" s="819" t="s">
        <v>1395</v>
      </c>
      <c r="J53" s="11"/>
      <c r="M53" s="814"/>
      <c r="N53" s="814"/>
      <c r="O53" s="815"/>
    </row>
    <row r="54" spans="1:15" s="812" customFormat="1" ht="12.6" customHeight="1">
      <c r="D54" s="161"/>
      <c r="G54" s="819"/>
      <c r="I54" s="819" t="s">
        <v>1396</v>
      </c>
      <c r="J54" s="11"/>
      <c r="M54" s="814"/>
      <c r="N54" s="814"/>
      <c r="O54" s="815"/>
    </row>
    <row r="55" spans="1:15" s="812" customFormat="1" ht="12.6" customHeight="1">
      <c r="D55" s="161"/>
      <c r="G55" s="813"/>
      <c r="J55" s="253"/>
      <c r="M55" s="814"/>
      <c r="N55" s="814"/>
      <c r="O55" s="815"/>
    </row>
    <row r="56" spans="1:15" s="812" customFormat="1" ht="12.6" customHeight="1">
      <c r="D56" s="161"/>
      <c r="G56" s="813"/>
      <c r="J56" s="253"/>
      <c r="M56" s="814"/>
      <c r="N56" s="814"/>
      <c r="O56" s="815"/>
    </row>
    <row r="57" spans="1:15" s="812" customFormat="1" ht="12.6" customHeight="1">
      <c r="A57" s="812" t="s">
        <v>1571</v>
      </c>
      <c r="D57" s="161"/>
      <c r="G57" s="813"/>
      <c r="J57" s="253"/>
      <c r="M57" s="814"/>
      <c r="N57" s="814"/>
      <c r="O57" s="815"/>
    </row>
    <row r="58" spans="1:15" s="812" customFormat="1" ht="12.6" customHeight="1">
      <c r="A58" s="812" t="s">
        <v>1572</v>
      </c>
      <c r="D58" s="161"/>
      <c r="G58" s="813"/>
      <c r="J58" s="253"/>
      <c r="M58" s="814"/>
      <c r="N58" s="814"/>
      <c r="O58" s="815"/>
    </row>
    <row r="59" spans="1:15" s="812" customFormat="1" ht="12.6" customHeight="1">
      <c r="D59" s="161"/>
      <c r="G59" s="813"/>
      <c r="J59" s="253"/>
      <c r="M59" s="814"/>
      <c r="N59" s="814"/>
      <c r="O59" s="815"/>
    </row>
    <row r="60" spans="1:15" s="812" customFormat="1" ht="9.75" customHeight="1">
      <c r="D60" s="161"/>
      <c r="G60" s="813"/>
      <c r="I60" s="816"/>
      <c r="J60" s="817"/>
      <c r="M60" s="814"/>
      <c r="N60" s="814"/>
      <c r="O60" s="815"/>
    </row>
    <row r="61" spans="1:15" s="812" customFormat="1" ht="12.6" customHeight="1">
      <c r="D61" s="161"/>
      <c r="G61" s="819"/>
      <c r="I61" s="819" t="s">
        <v>1567</v>
      </c>
      <c r="J61" s="11"/>
      <c r="M61" s="814"/>
      <c r="N61" s="814"/>
      <c r="O61" s="815"/>
    </row>
    <row r="62" spans="1:15" s="812" customFormat="1" ht="12.6" customHeight="1">
      <c r="D62" s="161"/>
      <c r="G62" s="819"/>
      <c r="I62" s="819" t="s">
        <v>1568</v>
      </c>
      <c r="J62" s="11"/>
      <c r="M62" s="814"/>
      <c r="N62" s="814"/>
      <c r="O62" s="815"/>
    </row>
    <row r="63" spans="1:15" s="812" customFormat="1" ht="12.6" customHeight="1">
      <c r="D63" s="161"/>
      <c r="G63" s="813"/>
      <c r="J63" s="253"/>
      <c r="M63" s="814"/>
      <c r="N63" s="814"/>
      <c r="O63" s="815"/>
    </row>
    <row r="64" spans="1:15" s="812" customFormat="1" ht="12.6" customHeight="1">
      <c r="D64" s="161"/>
      <c r="G64" s="813"/>
      <c r="J64" s="95"/>
      <c r="K64" s="818"/>
      <c r="L64" s="818"/>
      <c r="M64" s="95"/>
      <c r="N64" s="95"/>
    </row>
    <row r="65" spans="1:15" s="812" customFormat="1" ht="12.6" customHeight="1">
      <c r="A65" s="812" t="s">
        <v>1573</v>
      </c>
      <c r="D65" s="161"/>
      <c r="G65" s="813"/>
      <c r="J65" s="253"/>
      <c r="M65" s="814"/>
      <c r="N65" s="814"/>
      <c r="O65" s="815"/>
    </row>
    <row r="66" spans="1:15" s="812" customFormat="1" ht="12.6" customHeight="1">
      <c r="A66" s="812" t="s">
        <v>1574</v>
      </c>
      <c r="D66" s="161"/>
      <c r="G66" s="813"/>
      <c r="J66" s="253"/>
      <c r="M66" s="814"/>
      <c r="N66" s="814"/>
      <c r="O66" s="815"/>
    </row>
    <row r="67" spans="1:15" s="812" customFormat="1" ht="12.6" customHeight="1">
      <c r="D67" s="161"/>
      <c r="G67" s="813"/>
      <c r="J67" s="253"/>
      <c r="M67" s="814"/>
      <c r="N67" s="814"/>
      <c r="O67" s="815"/>
    </row>
    <row r="68" spans="1:15" s="812" customFormat="1" ht="9.75" customHeight="1">
      <c r="D68" s="161"/>
      <c r="G68" s="813"/>
      <c r="I68" s="816"/>
      <c r="J68" s="817"/>
      <c r="M68" s="814"/>
      <c r="N68" s="814"/>
      <c r="O68" s="815"/>
    </row>
    <row r="69" spans="1:15" s="812" customFormat="1" ht="12.6" customHeight="1">
      <c r="D69" s="161"/>
      <c r="G69" s="819"/>
      <c r="I69" s="819" t="s">
        <v>1479</v>
      </c>
      <c r="J69" s="11"/>
      <c r="M69" s="814"/>
      <c r="N69" s="814"/>
      <c r="O69" s="815"/>
    </row>
    <row r="70" spans="1:15" s="812" customFormat="1" ht="12.6" customHeight="1">
      <c r="D70" s="161"/>
      <c r="G70" s="819"/>
      <c r="I70" s="819" t="s">
        <v>1396</v>
      </c>
      <c r="J70" s="11"/>
      <c r="M70" s="814"/>
      <c r="N70" s="814"/>
      <c r="O70" s="815"/>
    </row>
    <row r="71" spans="1:15" s="812" customFormat="1" ht="12.6" customHeight="1">
      <c r="D71" s="161"/>
      <c r="G71" s="813"/>
      <c r="J71" s="253"/>
      <c r="M71" s="814"/>
      <c r="N71" s="814"/>
      <c r="O71" s="815"/>
    </row>
    <row r="72" spans="1:15" ht="18" customHeight="1">
      <c r="A72" s="2" t="s">
        <v>908</v>
      </c>
      <c r="B72" s="2"/>
      <c r="C72" s="2"/>
      <c r="D72" s="2"/>
      <c r="E72" s="2"/>
      <c r="F72" s="2"/>
      <c r="G72" s="2"/>
      <c r="H72" s="2"/>
      <c r="I72" s="2"/>
      <c r="J72" s="2"/>
      <c r="K72" s="2"/>
      <c r="L72" s="2"/>
      <c r="M72" s="2"/>
      <c r="N72" s="19"/>
    </row>
    <row r="73" spans="1:15" ht="53.25" customHeight="1">
      <c r="A73" s="1606" t="str">
        <f>IF(M30="No","Answer Required","N/A")</f>
        <v>N/A</v>
      </c>
      <c r="B73" s="1607"/>
      <c r="C73" s="1607"/>
      <c r="D73" s="1607"/>
      <c r="E73" s="1607"/>
      <c r="F73" s="1607"/>
      <c r="G73" s="1607"/>
      <c r="H73" s="1607"/>
      <c r="I73" s="1607"/>
      <c r="J73" s="1607"/>
      <c r="K73" s="1607"/>
      <c r="L73" s="1607"/>
      <c r="M73" s="1608"/>
      <c r="N73" s="19"/>
    </row>
    <row r="74" spans="1:15">
      <c r="A74" s="2"/>
      <c r="B74" s="2"/>
      <c r="C74" s="2"/>
      <c r="D74" s="2"/>
      <c r="E74" s="2"/>
      <c r="F74" s="2"/>
      <c r="G74" s="2"/>
      <c r="H74" s="2"/>
      <c r="I74" s="2"/>
      <c r="J74" s="2"/>
      <c r="K74" s="2"/>
      <c r="L74" s="2"/>
      <c r="M74" s="2"/>
      <c r="N74" s="19"/>
    </row>
    <row r="75" spans="1:15">
      <c r="A75" s="7" t="s">
        <v>1129</v>
      </c>
      <c r="B75" s="2"/>
      <c r="C75" s="2"/>
      <c r="D75" s="2"/>
      <c r="E75" s="2"/>
      <c r="F75" s="2"/>
      <c r="G75" s="2"/>
      <c r="H75" s="2"/>
      <c r="I75" s="2"/>
      <c r="J75" s="2"/>
      <c r="K75" s="2"/>
      <c r="L75" s="2"/>
      <c r="M75" s="2"/>
      <c r="N75" s="19"/>
    </row>
    <row r="76" spans="1:15">
      <c r="A76" s="2"/>
      <c r="B76" s="2"/>
      <c r="C76" s="2"/>
      <c r="D76" s="2"/>
      <c r="E76" s="2"/>
      <c r="F76" s="2"/>
      <c r="G76" s="2"/>
      <c r="H76" s="2"/>
      <c r="I76" s="2"/>
      <c r="J76" s="2"/>
      <c r="K76" s="2"/>
      <c r="L76" s="2"/>
      <c r="M76" s="2"/>
      <c r="N76" s="19"/>
    </row>
    <row r="77" spans="1:15">
      <c r="A77" s="88" t="s">
        <v>194</v>
      </c>
      <c r="B77" s="88"/>
      <c r="C77" s="88"/>
      <c r="D77" s="89"/>
      <c r="E77" s="88"/>
      <c r="F77" s="88"/>
      <c r="G77" s="89"/>
      <c r="H77" s="88"/>
      <c r="I77" s="88"/>
      <c r="J77" s="89"/>
      <c r="K77" s="88"/>
      <c r="L77" s="88"/>
      <c r="M77" s="89"/>
      <c r="N77" s="88"/>
    </row>
    <row r="78" spans="1:15" ht="22.5">
      <c r="A78" s="88"/>
      <c r="B78" s="88"/>
      <c r="C78" s="88"/>
      <c r="D78" s="89"/>
      <c r="E78" s="88"/>
      <c r="F78" s="88"/>
      <c r="G78" s="89"/>
      <c r="H78" s="88"/>
      <c r="I78" s="88"/>
      <c r="J78" s="89"/>
      <c r="K78" s="88"/>
      <c r="L78" s="88"/>
      <c r="M78" s="94" t="s">
        <v>195</v>
      </c>
      <c r="N78" s="96" t="s">
        <v>196</v>
      </c>
    </row>
    <row r="79" spans="1:15">
      <c r="A79" s="88"/>
      <c r="B79" s="88"/>
      <c r="C79" s="88"/>
      <c r="D79" s="89"/>
      <c r="E79" s="88"/>
      <c r="F79" s="88"/>
      <c r="G79" s="89"/>
      <c r="H79" s="88"/>
      <c r="I79" s="88"/>
      <c r="K79" s="88"/>
      <c r="L79" s="90" t="s">
        <v>833</v>
      </c>
      <c r="M79" s="58" t="str">
        <f>IF($M$16="Yes","Answer Required","N/A")</f>
        <v>N/A</v>
      </c>
      <c r="N79" s="58" t="str">
        <f>IF($M$16="Yes","Answer Required","N/A")</f>
        <v>N/A</v>
      </c>
    </row>
    <row r="80" spans="1:15">
      <c r="A80" s="88" t="s">
        <v>906</v>
      </c>
      <c r="B80" s="88"/>
      <c r="C80" s="88"/>
      <c r="D80" s="89"/>
      <c r="E80" s="88"/>
      <c r="F80" s="88"/>
      <c r="G80" s="89"/>
      <c r="H80" s="88"/>
      <c r="I80" s="88"/>
      <c r="J80" s="89"/>
      <c r="K80" s="88"/>
      <c r="L80" s="97" t="s">
        <v>205</v>
      </c>
      <c r="M80" s="562" t="str">
        <f>IF(M79="Yes","Answer Required","N/A")</f>
        <v>N/A</v>
      </c>
      <c r="N80" s="562" t="str">
        <f>IF(N79="Yes","Answer Required","N/A")</f>
        <v>N/A</v>
      </c>
    </row>
    <row r="81" spans="1:14">
      <c r="A81" s="88"/>
      <c r="B81" s="88"/>
      <c r="C81" s="88"/>
      <c r="D81" s="89"/>
      <c r="E81" s="88"/>
      <c r="F81" s="88"/>
      <c r="G81" s="89"/>
      <c r="H81" s="88"/>
      <c r="I81" s="88"/>
      <c r="J81" s="89"/>
      <c r="K81" s="88"/>
      <c r="L81" s="88"/>
      <c r="M81" s="89"/>
      <c r="N81" s="88"/>
    </row>
    <row r="82" spans="1:14" hidden="1">
      <c r="A82" s="87" t="s">
        <v>899</v>
      </c>
      <c r="B82" s="88"/>
      <c r="C82" s="88"/>
      <c r="D82" s="89"/>
      <c r="E82" s="88"/>
      <c r="F82" s="88"/>
      <c r="G82" s="89"/>
      <c r="H82" s="88"/>
      <c r="I82" s="88"/>
      <c r="J82" s="89"/>
      <c r="K82" s="88"/>
      <c r="L82" s="88"/>
      <c r="M82" s="89"/>
      <c r="N82" s="88"/>
    </row>
    <row r="83" spans="1:14" hidden="1">
      <c r="A83" s="88"/>
      <c r="B83" s="88"/>
      <c r="C83" s="88"/>
      <c r="D83" s="89"/>
      <c r="E83" s="88"/>
      <c r="F83" s="88"/>
      <c r="G83" s="89"/>
      <c r="H83" s="88"/>
      <c r="I83" s="88"/>
      <c r="J83" s="89"/>
      <c r="K83" s="88"/>
      <c r="L83" s="88"/>
      <c r="M83" s="89"/>
      <c r="N83" s="88"/>
    </row>
    <row r="84" spans="1:14" hidden="1">
      <c r="A84" s="88" t="s">
        <v>900</v>
      </c>
      <c r="B84" s="88"/>
      <c r="C84" s="88"/>
      <c r="D84" s="89"/>
      <c r="E84" s="88"/>
      <c r="F84" s="88"/>
      <c r="G84" s="89"/>
      <c r="H84" s="88"/>
      <c r="I84" s="88"/>
      <c r="J84" s="89"/>
      <c r="K84" s="88"/>
      <c r="L84" s="88"/>
      <c r="M84" s="89"/>
      <c r="N84" s="88"/>
    </row>
    <row r="85" spans="1:14" hidden="1">
      <c r="A85" s="88" t="s">
        <v>901</v>
      </c>
      <c r="B85" s="88"/>
      <c r="C85" s="88"/>
      <c r="D85" s="89"/>
      <c r="E85" s="88"/>
      <c r="F85" s="88"/>
      <c r="G85" s="89"/>
      <c r="H85" s="88"/>
      <c r="I85" s="88"/>
      <c r="J85" s="89"/>
      <c r="K85" s="88"/>
      <c r="L85" s="88"/>
      <c r="M85" s="93"/>
      <c r="N85" s="88"/>
    </row>
    <row r="86" spans="1:14" hidden="1">
      <c r="A86" s="88"/>
      <c r="B86" s="88"/>
      <c r="C86" s="88"/>
      <c r="D86" s="89"/>
      <c r="E86" s="88"/>
      <c r="F86" s="88"/>
      <c r="G86" s="89"/>
      <c r="H86" s="88"/>
      <c r="I86" s="88"/>
      <c r="J86" s="89"/>
      <c r="K86" s="88"/>
      <c r="L86" s="88"/>
      <c r="M86" s="93"/>
      <c r="N86" s="88"/>
    </row>
    <row r="87" spans="1:14" hidden="1">
      <c r="A87" s="88"/>
      <c r="B87" s="88"/>
      <c r="C87" s="88"/>
      <c r="D87" s="89"/>
      <c r="E87" s="88"/>
      <c r="F87" s="88"/>
      <c r="G87" s="89"/>
      <c r="H87" s="88"/>
      <c r="I87" s="88"/>
      <c r="J87" s="90" t="s">
        <v>37</v>
      </c>
      <c r="K87" s="88"/>
      <c r="L87" s="88"/>
      <c r="M87" s="268" t="s">
        <v>752</v>
      </c>
      <c r="N87" s="88"/>
    </row>
    <row r="88" spans="1:14" hidden="1">
      <c r="A88" s="88"/>
      <c r="B88" s="88"/>
      <c r="C88" s="88"/>
      <c r="D88" s="89"/>
      <c r="E88" s="88"/>
      <c r="F88" s="88"/>
      <c r="G88" s="89"/>
      <c r="H88" s="88"/>
      <c r="I88" s="88"/>
      <c r="J88" s="89"/>
      <c r="K88" s="88"/>
      <c r="L88" s="88"/>
      <c r="M88" s="93"/>
      <c r="N88" s="88"/>
    </row>
    <row r="89" spans="1:14" hidden="1">
      <c r="A89" s="88" t="s">
        <v>907</v>
      </c>
      <c r="B89" s="88"/>
      <c r="C89" s="88"/>
      <c r="D89" s="89"/>
      <c r="E89" s="88"/>
      <c r="F89" s="88"/>
      <c r="G89" s="89"/>
      <c r="H89" s="88"/>
      <c r="I89" s="88"/>
      <c r="J89" s="89"/>
      <c r="K89" s="88"/>
      <c r="L89" s="88"/>
      <c r="M89" s="89"/>
      <c r="N89" s="88"/>
    </row>
    <row r="90" spans="1:14" ht="22.5" hidden="1">
      <c r="A90" s="88"/>
      <c r="B90" s="88"/>
      <c r="C90" s="88"/>
      <c r="D90" s="89"/>
      <c r="E90" s="88"/>
      <c r="F90" s="88"/>
      <c r="G90" s="89"/>
      <c r="H90" s="88"/>
      <c r="I90" s="88"/>
      <c r="J90" s="90" t="s">
        <v>902</v>
      </c>
      <c r="K90" s="88"/>
      <c r="L90" s="88"/>
      <c r="M90" s="94" t="s">
        <v>903</v>
      </c>
      <c r="N90" s="88"/>
    </row>
    <row r="91" spans="1:14" hidden="1">
      <c r="A91" s="88"/>
      <c r="B91" s="88"/>
      <c r="C91" s="88"/>
      <c r="D91" s="89"/>
      <c r="E91" s="88"/>
      <c r="F91" s="88"/>
      <c r="G91" s="89"/>
      <c r="H91" s="88"/>
      <c r="I91" s="88"/>
      <c r="J91" s="97" t="s">
        <v>421</v>
      </c>
      <c r="K91" s="137"/>
      <c r="L91" s="88"/>
      <c r="M91" s="11"/>
      <c r="N91" s="88"/>
    </row>
    <row r="92" spans="1:14" hidden="1">
      <c r="A92" s="88"/>
      <c r="B92" s="88"/>
      <c r="C92" s="88"/>
      <c r="D92" s="89"/>
      <c r="E92" s="88"/>
      <c r="F92" s="88"/>
      <c r="G92" s="89"/>
      <c r="H92" s="88"/>
      <c r="I92" s="88"/>
      <c r="J92" s="97" t="s">
        <v>904</v>
      </c>
      <c r="K92" s="137"/>
      <c r="L92" s="88"/>
      <c r="M92" s="11"/>
      <c r="N92" s="88"/>
    </row>
    <row r="93" spans="1:14" hidden="1">
      <c r="A93" s="88"/>
      <c r="B93" s="88"/>
      <c r="C93" s="88"/>
      <c r="D93" s="89"/>
      <c r="E93" s="88"/>
      <c r="F93" s="88"/>
      <c r="G93" s="89"/>
      <c r="H93" s="88"/>
      <c r="I93" s="88"/>
      <c r="J93" s="97" t="s">
        <v>107</v>
      </c>
      <c r="K93" s="88"/>
      <c r="L93" s="88"/>
      <c r="M93" s="11"/>
      <c r="N93" s="88"/>
    </row>
    <row r="94" spans="1:14" hidden="1">
      <c r="A94" s="88"/>
      <c r="B94" s="88"/>
      <c r="C94" s="88"/>
      <c r="D94" s="89"/>
      <c r="E94" s="88"/>
      <c r="F94" s="88"/>
      <c r="G94" s="89"/>
      <c r="H94" s="88"/>
      <c r="I94" s="88"/>
      <c r="J94" s="97"/>
      <c r="K94" s="88"/>
      <c r="L94" s="88"/>
      <c r="M94" s="93"/>
      <c r="N94" s="88"/>
    </row>
    <row r="95" spans="1:14" hidden="1">
      <c r="A95" s="88" t="s">
        <v>905</v>
      </c>
      <c r="B95" s="88"/>
      <c r="C95" s="88"/>
      <c r="D95" s="89"/>
      <c r="E95" s="88"/>
      <c r="F95" s="88"/>
      <c r="G95" s="89"/>
      <c r="H95" s="88"/>
      <c r="I95" s="88"/>
      <c r="J95" s="89"/>
      <c r="K95" s="88"/>
      <c r="L95" s="88"/>
      <c r="M95" s="89"/>
      <c r="N95" s="88"/>
    </row>
    <row r="96" spans="1:14" hidden="1">
      <c r="A96" s="1597" t="str">
        <f>IF(M87="Yes","Answer Required","N/A")</f>
        <v>N/A</v>
      </c>
      <c r="B96" s="1598"/>
      <c r="C96" s="1598"/>
      <c r="D96" s="1598"/>
      <c r="E96" s="1598"/>
      <c r="F96" s="1598"/>
      <c r="G96" s="1598"/>
      <c r="H96" s="1598"/>
      <c r="I96" s="1598"/>
      <c r="J96" s="1598"/>
      <c r="K96" s="1598"/>
      <c r="L96" s="1598"/>
      <c r="M96" s="1599"/>
      <c r="N96" s="474"/>
    </row>
    <row r="97" spans="1:14" hidden="1">
      <c r="A97" s="1600"/>
      <c r="B97" s="1601"/>
      <c r="C97" s="1601"/>
      <c r="D97" s="1601"/>
      <c r="E97" s="1601"/>
      <c r="F97" s="1601"/>
      <c r="G97" s="1601"/>
      <c r="H97" s="1601"/>
      <c r="I97" s="1601"/>
      <c r="J97" s="1601"/>
      <c r="K97" s="1601"/>
      <c r="L97" s="1601"/>
      <c r="M97" s="1602"/>
    </row>
    <row r="98" spans="1:14" hidden="1">
      <c r="A98" s="1600"/>
      <c r="B98" s="1601"/>
      <c r="C98" s="1601"/>
      <c r="D98" s="1601"/>
      <c r="E98" s="1601"/>
      <c r="F98" s="1601"/>
      <c r="G98" s="1601"/>
      <c r="H98" s="1601"/>
      <c r="I98" s="1601"/>
      <c r="J98" s="1601"/>
      <c r="K98" s="1601"/>
      <c r="L98" s="1601"/>
      <c r="M98" s="1602"/>
    </row>
    <row r="99" spans="1:14" hidden="1">
      <c r="A99" s="1600"/>
      <c r="B99" s="1601"/>
      <c r="C99" s="1601"/>
      <c r="D99" s="1601"/>
      <c r="E99" s="1601"/>
      <c r="F99" s="1601"/>
      <c r="G99" s="1601"/>
      <c r="H99" s="1601"/>
      <c r="I99" s="1601"/>
      <c r="J99" s="1601"/>
      <c r="K99" s="1601"/>
      <c r="L99" s="1601"/>
      <c r="M99" s="1602"/>
    </row>
    <row r="100" spans="1:14" hidden="1">
      <c r="A100" s="1603"/>
      <c r="B100" s="1604"/>
      <c r="C100" s="1604"/>
      <c r="D100" s="1604"/>
      <c r="E100" s="1604"/>
      <c r="F100" s="1604"/>
      <c r="G100" s="1604"/>
      <c r="H100" s="1604"/>
      <c r="I100" s="1604"/>
      <c r="J100" s="1604"/>
      <c r="K100" s="1604"/>
      <c r="L100" s="1604"/>
      <c r="M100" s="1605"/>
    </row>
    <row r="101" spans="1:14" ht="12.75" hidden="1" customHeight="1">
      <c r="A101" s="88"/>
      <c r="B101" s="88"/>
      <c r="C101" s="88"/>
      <c r="D101" s="89"/>
      <c r="E101" s="88"/>
      <c r="F101" s="88"/>
      <c r="G101" s="89"/>
      <c r="H101" s="88"/>
      <c r="I101" s="88"/>
      <c r="J101" s="89"/>
      <c r="K101" s="88"/>
      <c r="L101" s="88"/>
      <c r="M101" s="89"/>
      <c r="N101" s="88"/>
    </row>
    <row r="102" spans="1:14" hidden="1">
      <c r="M102" t="s">
        <v>527</v>
      </c>
    </row>
    <row r="103" spans="1:14" hidden="1">
      <c r="M103" t="s">
        <v>652</v>
      </c>
    </row>
    <row r="104" spans="1:14" hidden="1">
      <c r="M104" s="138" t="s">
        <v>231</v>
      </c>
    </row>
  </sheetData>
  <sheetProtection algorithmName="SHA-512" hashValue="lzQb70XHSoWHwIbhArZXd0BR9jh24JVg93gfIH2U33Esv1z3d2/h99mj5As4dHrHOhP4J38PhYBrXbhAxfmz3g==" saltValue="VYSYHtvAnST4s1ddwUFwHw==" spinCount="100000" sheet="1" objects="1" scenarios="1"/>
  <customSheetViews>
    <customSheetView guid="{FBB78E72-3FBC-498A-91AC-D094BCE26D3C}" showGridLines="0" hiddenRows="1" topLeftCell="A28">
      <selection activeCell="G2" sqref="G2:J2"/>
      <rowBreaks count="2" manualBreakCount="2">
        <brk id="54" max="13" man="1"/>
        <brk id="74" max="13" man="1"/>
      </rowBreaks>
      <pageMargins left="0.5" right="0.31" top="0.85" bottom="0.53" header="0.36" footer="0.28999999999999998"/>
      <pageSetup scale="78"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topLeftCell="A28">
      <selection activeCell="G2" sqref="G2:J2"/>
      <rowBreaks count="2" manualBreakCount="2">
        <brk id="54" max="13" man="1"/>
        <brk id="74" max="13" man="1"/>
      </rowBreaks>
      <pageMargins left="0.5" right="0.31" top="0.85" bottom="0.53" header="0.36" footer="0.28999999999999998"/>
      <pageSetup scale="78"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topLeftCell="A28">
      <selection activeCell="G2" sqref="G2:J2"/>
      <rowBreaks count="2" manualBreakCount="2">
        <brk id="54" max="13" man="1"/>
        <brk id="74" max="13" man="1"/>
      </rowBreaks>
      <pageMargins left="0.5" right="0.31" top="0.85" bottom="0.53" header="0.36" footer="0.28999999999999998"/>
      <pageSetup scale="78"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cale="85" showPageBreaks="1" showGridLines="0" printArea="1" hiddenRows="1" view="pageBreakPreview">
      <rowBreaks count="2" manualBreakCount="2">
        <brk id="54" max="13" man="1"/>
        <brk id="74" max="13" man="1"/>
      </rowBreaks>
      <pageMargins left="0.5" right="0.31" top="0.85" bottom="0.53" header="0.36" footer="0.28999999999999998"/>
      <pageSetup scale="7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cale="85" showPageBreaks="1" showGridLines="0" printArea="1" hiddenRows="1" view="pageBreakPreview">
      <selection activeCell="B3" sqref="B3:J3"/>
      <rowBreaks count="2" manualBreakCount="2">
        <brk id="54" max="13" man="1"/>
        <brk id="74" max="13" man="1"/>
      </rowBreaks>
      <pageMargins left="0.5" right="0.31" top="0.85" bottom="0.53" header="0.36" footer="0.28999999999999998"/>
      <pageSetup scale="7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10">
    <mergeCell ref="B1:J1"/>
    <mergeCell ref="B2:J2"/>
    <mergeCell ref="B3:J3"/>
    <mergeCell ref="B4:J4"/>
    <mergeCell ref="B5:J5"/>
    <mergeCell ref="A96:M100"/>
    <mergeCell ref="A73:M73"/>
    <mergeCell ref="A18:M18"/>
    <mergeCell ref="A19:M19"/>
    <mergeCell ref="B6:J6"/>
  </mergeCells>
  <phoneticPr fontId="27" type="noConversion"/>
  <conditionalFormatting sqref="A19:M19">
    <cfRule type="cellIs" dxfId="20" priority="5" operator="equal">
      <formula>"Answer Required"</formula>
    </cfRule>
  </conditionalFormatting>
  <conditionalFormatting sqref="A73:M73">
    <cfRule type="cellIs" dxfId="19" priority="4" operator="equal">
      <formula>"Answer Required"</formula>
    </cfRule>
  </conditionalFormatting>
  <conditionalFormatting sqref="M16">
    <cfRule type="containsText" dxfId="18" priority="1" operator="containsText" text="Answer REquired">
      <formula>NOT(ISERROR(SEARCH("Answer REquired",M16)))</formula>
    </cfRule>
  </conditionalFormatting>
  <conditionalFormatting sqref="M22 M26 M30">
    <cfRule type="cellIs" dxfId="17" priority="9" operator="equal">
      <formula>"Answer Required"</formula>
    </cfRule>
  </conditionalFormatting>
  <conditionalFormatting sqref="M87">
    <cfRule type="cellIs" dxfId="16" priority="6" operator="equal">
      <formula>"Answer Required"</formula>
    </cfRule>
  </conditionalFormatting>
  <conditionalFormatting sqref="M79:N80">
    <cfRule type="cellIs" dxfId="15" priority="2" operator="equal">
      <formula>"Answer Required"</formula>
    </cfRule>
  </conditionalFormatting>
  <dataValidations count="11">
    <dataValidation allowBlank="1" showInputMessage="1" showErrorMessage="1" error="Enter whole number._x000a_" sqref="M81:N81" xr:uid="{00000000-0002-0000-0F00-000000000000}"/>
    <dataValidation type="whole" allowBlank="1" showInputMessage="1" showErrorMessage="1" error="Enter whole number._x000a_" sqref="J40" xr:uid="{00000000-0002-0000-0F00-000001000000}">
      <formula1>-1000000000000000</formula1>
      <formula2>1000000000000000</formula2>
    </dataValidation>
    <dataValidation type="whole" allowBlank="1" showInputMessage="1" showErrorMessage="1" error="Enter whole number._x000a_" sqref="M91:M93 N36:N39" xr:uid="{00000000-0002-0000-0F00-000002000000}">
      <formula1>-9999999999999</formula1>
      <formula2>9999999999999</formula2>
    </dataValidation>
    <dataValidation type="list" allowBlank="1" showInputMessage="1" showErrorMessage="1" error="Use the drop-down list to enter Yes or No" sqref="M87" xr:uid="{00000000-0002-0000-0F00-000003000000}">
      <formula1>$M$102:$M$103</formula1>
    </dataValidation>
    <dataValidation type="list" allowBlank="1" showInputMessage="1" showErrorMessage="1" error="Enter Yes, No, or N/A" sqref="M22 M79:N79 M26 M30" xr:uid="{00000000-0002-0000-0F00-000004000000}">
      <formula1>$M$102:$M$104</formula1>
    </dataValidation>
    <dataValidation type="whole" allowBlank="1" showInputMessage="1" showErrorMessage="1" error="Enter a whole number" sqref="M80:N80" xr:uid="{00000000-0002-0000-0F00-000005000000}">
      <formula1>-9999999999999</formula1>
      <formula2>9999999999999</formula2>
    </dataValidation>
    <dataValidation type="whole" allowBlank="1" showInputMessage="1" showErrorMessage="1" error="Please enter a whole number." sqref="J61:J63 J69:J71 J65:J67 J53:J59" xr:uid="{00000000-0002-0000-0F00-000006000000}">
      <formula1>-9999999999999</formula1>
      <formula2>9999999999999</formula2>
    </dataValidation>
    <dataValidation type="whole" allowBlank="1" showInputMessage="1" showErrorMessage="1" sqref="O65:O71 O41:O63" xr:uid="{00000000-0002-0000-0F00-000007000000}">
      <formula1>-9999999999999</formula1>
      <formula2>9999999999999</formula2>
    </dataValidation>
    <dataValidation type="list" allowBlank="1" showInputMessage="1" showErrorMessage="1" error="Use the drop-down list to enter Yes, No or N/A" sqref="M16" xr:uid="{00000000-0002-0000-0F00-000008000000}">
      <formula1>$M$102:$M$104</formula1>
    </dataValidation>
    <dataValidation type="whole" allowBlank="1" showInputMessage="1" showErrorMessage="1" error="Enter a negative whole number._x000a_" sqref="J36:J39" xr:uid="{00000000-0002-0000-0F00-000009000000}">
      <formula1>-9999999999999</formula1>
      <formula2>0</formula2>
    </dataValidation>
    <dataValidation type="whole" allowBlank="1" showInputMessage="1" showErrorMessage="1" error="Enter a positive whole number._x000a_" sqref="M36:M39" xr:uid="{00000000-0002-0000-0F00-00000A000000}">
      <formula1>0</formula1>
      <formula2>9999999999999</formula2>
    </dataValidation>
  </dataValidations>
  <pageMargins left="0.75" right="0.31" top="0.85" bottom="0.53" header="0.36" footer="0.28999999999999998"/>
  <pageSetup scale="60" orientation="portrait" cellComments="asDisplayed" r:id="rId6"/>
  <headerFooter alignWithMargins="0">
    <oddHeader>&amp;C&amp;"Times New Roman,Bold"Attachment CU4
Financial Statement Template (FST)
&amp;A</oddHeader>
    <oddFooter>&amp;L&amp;"Times New Roman,Regular"&amp;F \ &amp;A&amp;RPage &amp;P</oddFooter>
  </headerFooter>
  <rowBreaks count="2" manualBreakCount="2">
    <brk id="81" max="13" man="1"/>
    <brk id="101" max="13" man="1"/>
  </rowBreaks>
  <legacyDrawing r:id="rId7"/>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H73"/>
  <sheetViews>
    <sheetView showGridLines="0" zoomScaleNormal="100" workbookViewId="0">
      <selection activeCell="B3" sqref="B3:D3"/>
    </sheetView>
  </sheetViews>
  <sheetFormatPr defaultColWidth="9.140625" defaultRowHeight="12.75"/>
  <cols>
    <col min="1" max="1" width="56.140625" customWidth="1"/>
    <col min="2" max="2" width="18" customWidth="1"/>
    <col min="3" max="3" width="18.85546875" customWidth="1"/>
    <col min="4" max="4" width="18.7109375" customWidth="1"/>
    <col min="5" max="5" width="28.28515625" customWidth="1"/>
    <col min="7" max="8" width="9.140625" hidden="1" customWidth="1"/>
    <col min="9" max="9" width="0" hidden="1" customWidth="1"/>
  </cols>
  <sheetData>
    <row r="1" spans="1:5">
      <c r="A1" s="183" t="s">
        <v>507</v>
      </c>
      <c r="B1" s="1621" t="str">
        <f>'Component Unit Template'!G1</f>
        <v/>
      </c>
      <c r="C1" s="1621"/>
      <c r="D1" s="1621"/>
    </row>
    <row r="2" spans="1:5" ht="38.25" customHeight="1">
      <c r="A2" s="183" t="s">
        <v>528</v>
      </c>
      <c r="B2" s="1622" t="str">
        <f>IF('Component Unit Template'!G2="","",'Component Unit Template'!G2)</f>
        <v/>
      </c>
      <c r="C2" s="1623"/>
      <c r="D2" s="1624"/>
    </row>
    <row r="3" spans="1:5">
      <c r="A3" s="183" t="s">
        <v>586</v>
      </c>
      <c r="B3" s="1625" t="str">
        <f>IF('Component Unit Template'!G3="","",'Component Unit Template'!G3)</f>
        <v/>
      </c>
      <c r="C3" s="1625"/>
      <c r="D3" s="1625"/>
    </row>
    <row r="4" spans="1:5">
      <c r="A4" s="183" t="s">
        <v>315</v>
      </c>
      <c r="B4" s="1626" t="str">
        <f>IF('Component Unit Template'!G4="","",'Component Unit Template'!G4)</f>
        <v/>
      </c>
      <c r="C4" s="1626"/>
      <c r="D4" s="1626"/>
    </row>
    <row r="5" spans="1:5">
      <c r="A5" s="183" t="s">
        <v>677</v>
      </c>
      <c r="B5" s="1619" t="str">
        <f>IF('Component Unit Template'!G5="","",'Component Unit Template'!G5)</f>
        <v/>
      </c>
      <c r="C5" s="1619"/>
      <c r="D5" s="1619"/>
    </row>
    <row r="6" spans="1:5">
      <c r="A6" s="183" t="s">
        <v>36</v>
      </c>
      <c r="B6" s="1620" t="str">
        <f>IF('Component Unit Template'!G6="","",'Component Unit Template'!G6)</f>
        <v/>
      </c>
      <c r="C6" s="1620"/>
      <c r="D6" s="1620"/>
    </row>
    <row r="8" spans="1:5" s="88" customFormat="1" ht="12.75" customHeight="1">
      <c r="A8" s="48"/>
      <c r="B8" s="121"/>
      <c r="C8" s="121"/>
      <c r="D8" s="121"/>
      <c r="E8" s="121"/>
    </row>
    <row r="9" spans="1:5" s="88" customFormat="1" ht="12.75" customHeight="1">
      <c r="A9" s="120" t="s">
        <v>704</v>
      </c>
      <c r="B9" s="1618"/>
      <c r="C9" s="1618"/>
      <c r="D9" s="1618"/>
      <c r="E9" s="121"/>
    </row>
    <row r="10" spans="1:5" s="88" customFormat="1" ht="12.6" customHeight="1">
      <c r="A10" s="122" t="str">
        <f>'Tab 2 - Receivables'!A14</f>
        <v>For the Year Ended June 30, 2024</v>
      </c>
      <c r="B10" s="1618"/>
      <c r="C10" s="1618"/>
      <c r="D10" s="1618"/>
      <c r="E10" s="87"/>
    </row>
    <row r="11" spans="1:5" s="126" customFormat="1" ht="12.6" customHeight="1">
      <c r="A11" s="123"/>
      <c r="B11" s="1618"/>
      <c r="C11" s="1618"/>
      <c r="D11" s="1618"/>
      <c r="E11" s="125"/>
    </row>
    <row r="12" spans="1:5" s="126" customFormat="1" ht="12.6" customHeight="1">
      <c r="A12" s="127"/>
      <c r="B12" s="128"/>
      <c r="C12" s="128"/>
      <c r="D12" s="129"/>
      <c r="E12" s="130"/>
    </row>
    <row r="13" spans="1:5" s="126" customFormat="1" ht="12.6" customHeight="1">
      <c r="A13" s="186"/>
      <c r="B13" s="48"/>
      <c r="C13" s="48"/>
      <c r="E13" s="19"/>
    </row>
    <row r="14" spans="1:5" s="19" customFormat="1">
      <c r="A14" s="18"/>
      <c r="B14" s="23" t="s">
        <v>126</v>
      </c>
    </row>
    <row r="15" spans="1:5" s="19" customFormat="1" ht="19.5" customHeight="1">
      <c r="A15" s="19" t="s">
        <v>1401</v>
      </c>
      <c r="B15" s="185">
        <f>'Component Unit Template'!K114+'Component Unit Template'!K116</f>
        <v>0</v>
      </c>
    </row>
    <row r="16" spans="1:5" s="19" customFormat="1" ht="19.5" customHeight="1">
      <c r="A16" s="131"/>
      <c r="B16" s="184"/>
    </row>
    <row r="17" spans="1:4" s="19" customFormat="1">
      <c r="A17" s="131" t="s">
        <v>43</v>
      </c>
      <c r="B17" s="255"/>
    </row>
    <row r="18" spans="1:4" s="19" customFormat="1">
      <c r="A18" s="19" t="s">
        <v>45</v>
      </c>
      <c r="B18" s="117"/>
    </row>
    <row r="19" spans="1:4" s="19" customFormat="1">
      <c r="A19" s="19" t="s">
        <v>44</v>
      </c>
      <c r="B19" s="117"/>
    </row>
    <row r="20" spans="1:4" s="19" customFormat="1">
      <c r="A20" s="19" t="s">
        <v>1402</v>
      </c>
      <c r="B20" s="117"/>
    </row>
    <row r="21" spans="1:4" s="19" customFormat="1">
      <c r="A21" s="19" t="s">
        <v>1680</v>
      </c>
      <c r="B21" s="117"/>
    </row>
    <row r="22" spans="1:4" s="19" customFormat="1">
      <c r="A22" s="19" t="s">
        <v>1576</v>
      </c>
      <c r="B22" s="117"/>
    </row>
    <row r="23" spans="1:4" s="19" customFormat="1">
      <c r="A23" s="19" t="s">
        <v>1486</v>
      </c>
      <c r="B23" s="117"/>
    </row>
    <row r="24" spans="1:4" s="19" customFormat="1">
      <c r="A24" s="19" t="s">
        <v>102</v>
      </c>
      <c r="B24" s="117"/>
    </row>
    <row r="25" spans="1:4" s="19" customFormat="1">
      <c r="A25" s="19" t="s">
        <v>103</v>
      </c>
      <c r="B25" s="117"/>
    </row>
    <row r="26" spans="1:4" s="19" customFormat="1">
      <c r="A26" s="19" t="s">
        <v>46</v>
      </c>
    </row>
    <row r="27" spans="1:4" s="19" customFormat="1">
      <c r="A27" s="41"/>
      <c r="B27" s="117"/>
    </row>
    <row r="28" spans="1:4" s="19" customFormat="1">
      <c r="A28" s="41"/>
      <c r="B28" s="117"/>
    </row>
    <row r="29" spans="1:4" s="19" customFormat="1">
      <c r="A29" s="41"/>
      <c r="B29" s="117"/>
    </row>
    <row r="30" spans="1:4" s="19" customFormat="1">
      <c r="A30" s="367"/>
      <c r="B30" s="117"/>
    </row>
    <row r="31" spans="1:4" s="19" customFormat="1">
      <c r="A31" s="405"/>
      <c r="B31" s="406"/>
      <c r="D31" s="143" t="s">
        <v>833</v>
      </c>
    </row>
    <row r="32" spans="1:4" s="19" customFormat="1" ht="40.5" customHeight="1">
      <c r="A32" s="368" t="s">
        <v>1380</v>
      </c>
      <c r="B32" s="369"/>
      <c r="D32" s="364" t="str">
        <f>IF(B32="","N/A","Answer Required")</f>
        <v>N/A</v>
      </c>
    </row>
    <row r="33" spans="1:8" s="19" customFormat="1" ht="51.75" customHeight="1">
      <c r="A33" s="363" t="s">
        <v>1382</v>
      </c>
      <c r="B33" s="369"/>
      <c r="H33" s="19" t="s">
        <v>527</v>
      </c>
    </row>
    <row r="34" spans="1:8" s="19" customFormat="1" ht="36.75" customHeight="1">
      <c r="A34" s="809" t="str">
        <f>IF((B33&gt;0),"Answer Required","N/A")</f>
        <v>N/A</v>
      </c>
      <c r="B34" s="107"/>
      <c r="H34" s="19" t="s">
        <v>652</v>
      </c>
    </row>
    <row r="35" spans="1:8" s="19" customFormat="1">
      <c r="B35" s="184"/>
      <c r="H35" s="19" t="s">
        <v>231</v>
      </c>
    </row>
    <row r="36" spans="1:8" s="19" customFormat="1" ht="27.75" customHeight="1">
      <c r="A36" s="363" t="s">
        <v>1121</v>
      </c>
      <c r="B36" s="117"/>
    </row>
    <row r="37" spans="1:8" s="19" customFormat="1" ht="39.75" customHeight="1">
      <c r="A37" s="362" t="s">
        <v>753</v>
      </c>
      <c r="B37" s="117"/>
    </row>
    <row r="38" spans="1:8" s="19" customFormat="1" ht="52.5" customHeight="1">
      <c r="A38" s="362" t="s">
        <v>1383</v>
      </c>
      <c r="B38" s="369"/>
    </row>
    <row r="39" spans="1:8" s="19" customFormat="1" ht="41.25" customHeight="1">
      <c r="A39" s="809" t="str">
        <f>IF((B38&lt;0),"Answer Required","N/A")</f>
        <v>N/A</v>
      </c>
      <c r="B39" s="107"/>
    </row>
    <row r="40" spans="1:8" s="19" customFormat="1">
      <c r="A40" s="366" t="s">
        <v>754</v>
      </c>
      <c r="B40" s="184"/>
    </row>
    <row r="41" spans="1:8" s="19" customFormat="1">
      <c r="A41" s="365"/>
      <c r="B41" s="117"/>
    </row>
    <row r="42" spans="1:8" s="19" customFormat="1">
      <c r="A42" s="365"/>
      <c r="B42" s="117"/>
      <c r="F42" s="19" t="s">
        <v>354</v>
      </c>
    </row>
    <row r="43" spans="1:8" s="19" customFormat="1">
      <c r="A43" s="365"/>
      <c r="B43" s="117"/>
    </row>
    <row r="44" spans="1:8" s="19" customFormat="1">
      <c r="A44" s="41"/>
      <c r="B44" s="117"/>
    </row>
    <row r="45" spans="1:8" s="19" customFormat="1">
      <c r="A45" s="41"/>
      <c r="B45" s="117"/>
    </row>
    <row r="46" spans="1:8" s="19" customFormat="1" ht="13.5" thickBot="1">
      <c r="A46" s="19" t="s">
        <v>705</v>
      </c>
      <c r="B46" s="254">
        <f>IF(SUM(B15,B18:B25,B27:B45)='Component Unit Template'!K202,SUM(B15,B18:B25,B27:B45),"ERROR")</f>
        <v>0</v>
      </c>
    </row>
    <row r="47" spans="1:8" s="19" customFormat="1" ht="13.5" thickTop="1">
      <c r="A47" s="187" t="s">
        <v>47</v>
      </c>
      <c r="B47" s="188">
        <f>(SUM(B15,B18:B25,B27:B45))-'Component Unit Template'!K202</f>
        <v>0</v>
      </c>
      <c r="C47" s="132"/>
    </row>
    <row r="48" spans="1:8" s="19" customFormat="1">
      <c r="A48" s="133"/>
      <c r="B48" s="134"/>
    </row>
    <row r="49" spans="1:5" s="19" customFormat="1"/>
    <row r="50" spans="1:5" s="19" customFormat="1" ht="25.5">
      <c r="A50" s="135" t="s">
        <v>48</v>
      </c>
      <c r="B50" s="136" t="s">
        <v>748</v>
      </c>
      <c r="C50" s="136" t="s">
        <v>49</v>
      </c>
      <c r="D50" s="190" t="s">
        <v>50</v>
      </c>
      <c r="E50" s="190" t="s">
        <v>68</v>
      </c>
    </row>
    <row r="51" spans="1:5" s="19" customFormat="1">
      <c r="A51" s="135" t="s">
        <v>45</v>
      </c>
      <c r="B51" s="189">
        <f>'Component Unit Template'!K158+'Component Unit Template'!K179</f>
        <v>0</v>
      </c>
      <c r="C51" s="189">
        <f t="shared" ref="C51:C58" si="0">B18</f>
        <v>0</v>
      </c>
      <c r="D51" s="162">
        <f>SUM(B51:C51)</f>
        <v>0</v>
      </c>
      <c r="E51" s="827" t="str">
        <f>IF(D51=0,"N/A","Answer Required")</f>
        <v>N/A</v>
      </c>
    </row>
    <row r="52" spans="1:5" s="19" customFormat="1">
      <c r="A52" s="135" t="s">
        <v>44</v>
      </c>
      <c r="B52" s="189">
        <f>'Component Unit Template'!K159+'Component Unit Template'!K180</f>
        <v>0</v>
      </c>
      <c r="C52" s="189">
        <f t="shared" si="0"/>
        <v>0</v>
      </c>
      <c r="D52" s="162">
        <f t="shared" ref="D52:D59" si="1">SUM(B52:C52)</f>
        <v>0</v>
      </c>
      <c r="E52" s="827" t="str">
        <f t="shared" ref="E52:E59" si="2">IF(D52=0,"N/A","Answer Required")</f>
        <v>N/A</v>
      </c>
    </row>
    <row r="53" spans="1:5" s="19" customFormat="1">
      <c r="A53" s="135" t="s">
        <v>1402</v>
      </c>
      <c r="B53" s="31">
        <f>'Component Unit Template'!K160+'Component Unit Template'!K181</f>
        <v>0</v>
      </c>
      <c r="C53" s="185">
        <f t="shared" si="0"/>
        <v>0</v>
      </c>
      <c r="D53" s="162">
        <f t="shared" si="1"/>
        <v>0</v>
      </c>
      <c r="E53" s="827" t="str">
        <f t="shared" si="2"/>
        <v>N/A</v>
      </c>
    </row>
    <row r="54" spans="1:5" s="19" customFormat="1">
      <c r="A54" s="135" t="s">
        <v>1680</v>
      </c>
      <c r="B54" s="31">
        <f>'Component Unit Template'!K161+'Component Unit Template'!K182</f>
        <v>0</v>
      </c>
      <c r="C54" s="185">
        <f t="shared" si="0"/>
        <v>0</v>
      </c>
      <c r="D54" s="162">
        <f t="shared" ref="D54:D56" si="3">SUM(B54:C54)</f>
        <v>0</v>
      </c>
      <c r="E54" s="827" t="str">
        <f t="shared" si="2"/>
        <v>N/A</v>
      </c>
    </row>
    <row r="55" spans="1:5" s="19" customFormat="1">
      <c r="A55" s="135" t="s">
        <v>1576</v>
      </c>
      <c r="B55" s="31">
        <f>'Component Unit Template'!K162+'Component Unit Template'!K183</f>
        <v>0</v>
      </c>
      <c r="C55" s="185">
        <f t="shared" si="0"/>
        <v>0</v>
      </c>
      <c r="D55" s="162">
        <f t="shared" ref="D55" si="4">SUM(B55:C55)</f>
        <v>0</v>
      </c>
      <c r="E55" s="827" t="str">
        <f t="shared" si="2"/>
        <v>N/A</v>
      </c>
    </row>
    <row r="56" spans="1:5" s="19" customFormat="1">
      <c r="A56" s="135" t="s">
        <v>1486</v>
      </c>
      <c r="B56" s="31">
        <f>'Component Unit Template'!K163+'Component Unit Template'!K184</f>
        <v>0</v>
      </c>
      <c r="C56" s="185">
        <f t="shared" si="0"/>
        <v>0</v>
      </c>
      <c r="D56" s="162">
        <f t="shared" si="3"/>
        <v>0</v>
      </c>
      <c r="E56" s="827" t="str">
        <f t="shared" ref="E56" si="5">IF(D56=0,"N/A","Answer Required")</f>
        <v>N/A</v>
      </c>
    </row>
    <row r="57" spans="1:5" s="19" customFormat="1">
      <c r="A57" s="135" t="s">
        <v>102</v>
      </c>
      <c r="B57" s="31">
        <f>'Component Unit Template'!K164+'Component Unit Template'!K185</f>
        <v>0</v>
      </c>
      <c r="C57" s="185">
        <f t="shared" si="0"/>
        <v>0</v>
      </c>
      <c r="D57" s="162">
        <f t="shared" si="1"/>
        <v>0</v>
      </c>
      <c r="E57" s="827" t="str">
        <f t="shared" si="2"/>
        <v>N/A</v>
      </c>
    </row>
    <row r="58" spans="1:5" s="19" customFormat="1">
      <c r="A58" s="135" t="s">
        <v>103</v>
      </c>
      <c r="B58" s="31">
        <f>'Component Unit Template'!K168+'Component Unit Template'!K190</f>
        <v>0</v>
      </c>
      <c r="C58" s="185">
        <f t="shared" si="0"/>
        <v>0</v>
      </c>
      <c r="D58" s="162">
        <f t="shared" si="1"/>
        <v>0</v>
      </c>
      <c r="E58" s="827" t="str">
        <f t="shared" si="2"/>
        <v>N/A</v>
      </c>
    </row>
    <row r="59" spans="1:5" s="19" customFormat="1">
      <c r="A59" s="135" t="s">
        <v>654</v>
      </c>
      <c r="B59" s="31">
        <f>'Component Unit Template'!K170+'Component Unit Template'!K192</f>
        <v>0</v>
      </c>
      <c r="C59" s="185">
        <f>SUM(B27:B30)</f>
        <v>0</v>
      </c>
      <c r="D59" s="162">
        <f t="shared" si="1"/>
        <v>0</v>
      </c>
      <c r="E59" s="827" t="str">
        <f t="shared" si="2"/>
        <v>N/A</v>
      </c>
    </row>
    <row r="61" spans="1:5" ht="26.25" customHeight="1">
      <c r="A61" s="1617" t="s">
        <v>1355</v>
      </c>
      <c r="B61" s="1617"/>
      <c r="C61" s="1617"/>
      <c r="D61" s="1617"/>
      <c r="E61" s="1617"/>
    </row>
    <row r="65" spans="1:1">
      <c r="A65" s="232"/>
    </row>
    <row r="66" spans="1:1">
      <c r="A66" s="234"/>
    </row>
    <row r="67" spans="1:1">
      <c r="A67" s="234"/>
    </row>
    <row r="68" spans="1:1">
      <c r="A68" s="232"/>
    </row>
    <row r="69" spans="1:1">
      <c r="A69" s="232"/>
    </row>
    <row r="70" spans="1:1">
      <c r="A70" s="232"/>
    </row>
    <row r="71" spans="1:1">
      <c r="A71" s="232"/>
    </row>
    <row r="72" spans="1:1">
      <c r="A72" s="232"/>
    </row>
    <row r="73" spans="1:1">
      <c r="A73" s="2"/>
    </row>
  </sheetData>
  <sheetProtection algorithmName="SHA-512" hashValue="fDRnQu4FeVdPqD8ASSmzpEKi0xQZE+OMblBd9MyPb9XwDnU14ejSbODfjgBqoMzqMNptMXhh4BGBv9IrpSSxsw==" saltValue="NoD8daM3Geu/C8UtU9I0Rg==" spinCount="100000" sheet="1" objects="1" scenarios="1"/>
  <customSheetViews>
    <customSheetView guid="{FBB78E72-3FBC-498A-91AC-D094BCE26D3C}" showGridLines="0" hiddenColumns="1" topLeftCell="A40">
      <selection activeCell="G2" sqref="G2:J2"/>
      <pageMargins left="0.75" right="0.38" top="0.74" bottom="0.65" header="0.35" footer="0.33"/>
      <pageSetup scale="73" orientation="portrait" cellComments="asDisplayed" r:id="rId1"/>
      <headerFooter alignWithMargins="0">
        <oddHeader>&amp;C&amp;"Times New Roman,Bold"Attachment CU4
Financial Statement Template (FST)
&amp;A</oddHeader>
        <oddFooter>&amp;L&amp;"Times New Roman,Regular"&amp;F \ &amp;A&amp;R&amp;"Times New Roman,Regular"Page &amp;P</oddFooter>
      </headerFooter>
    </customSheetView>
    <customSheetView guid="{A5477BC9-FA34-449D-B0C2-AF3469BA8BF0}" showGridLines="0" hiddenColumns="1" topLeftCell="A40">
      <selection activeCell="G2" sqref="G2:J2"/>
      <pageMargins left="0.75" right="0.38" top="0.74" bottom="0.65" header="0.35" footer="0.33"/>
      <pageSetup scale="73" orientation="portrait" cellComments="asDisplayed" r:id="rId2"/>
      <headerFooter alignWithMargins="0">
        <oddHeader>&amp;C&amp;"Times New Roman,Bold"Attachment CU4
Financial Statement Template (FST)
&amp;A</oddHeader>
        <oddFooter>&amp;L&amp;"Times New Roman,Regular"&amp;F \ &amp;A&amp;R&amp;"Times New Roman,Regular"Page &amp;P</oddFooter>
      </headerFooter>
    </customSheetView>
    <customSheetView guid="{DFFBE5FE-C073-48C5-BDD2-B0EAD8B5A8E7}" showGridLines="0" hiddenColumns="1" topLeftCell="A40">
      <selection activeCell="G2" sqref="G2:J2"/>
      <pageMargins left="0.75" right="0.38" top="0.74" bottom="0.65" header="0.35" footer="0.33"/>
      <pageSetup scale="73" orientation="portrait" cellComments="asDisplayed" r:id="rId3"/>
      <headerFooter alignWithMargins="0">
        <oddHeader>&amp;C&amp;"Times New Roman,Bold"Attachment CU4
Financial Statement Template (FST)
&amp;A</oddHeader>
        <oddFooter>&amp;L&amp;"Times New Roman,Regular"&amp;F \ &amp;A&amp;R&amp;"Times New Roman,Regular"Page &amp;P</oddFooter>
      </headerFooter>
    </customSheetView>
    <customSheetView guid="{9A25463D-BF6D-4A94-84A5-80E7F3451C59}" showGridLines="0" hiddenColumns="1">
      <selection activeCell="A9" sqref="A9"/>
      <pageMargins left="0.75" right="0.38" top="0.74" bottom="0.65" header="0.35" footer="0.33"/>
      <pageSetup scale="70" orientation="portrait" cellComments="asDisplayed" r:id="rId4"/>
      <headerFooter alignWithMargins="0">
        <oddHeader xml:space="preserve">&amp;C&amp;"Times New Roman,Bold"Attachment CU4
Financial Statement Template (FST)
&amp;A
</oddHeader>
        <oddFooter>&amp;L&amp;"Times New Roman,Regular"&amp;F \ &amp;A&amp;R&amp;"Times New Roman,Regular"Page &amp;P</oddFooter>
      </headerFooter>
    </customSheetView>
    <customSheetView guid="{10B70302-090E-4CFD-BAE6-CC560B897D26}" showGridLines="0" hiddenColumns="1">
      <selection activeCell="B3" sqref="B3:D3"/>
      <pageMargins left="0.75" right="0.38" top="0.74" bottom="0.65" header="0.35" footer="0.33"/>
      <pageSetup scale="70" orientation="portrait" cellComments="asDisplayed" r:id="rId5"/>
      <headerFooter alignWithMargins="0">
        <oddHeader xml:space="preserve">&amp;C&amp;"Times New Roman,Bold"Attachment CU4
Financial Statement Template (FST)
&amp;A
</oddHeader>
        <oddFooter>&amp;L&amp;"Times New Roman,Regular"&amp;F \ &amp;A&amp;R&amp;"Times New Roman,Regular"Page &amp;P</oddFooter>
      </headerFooter>
    </customSheetView>
  </customSheetViews>
  <mergeCells count="8">
    <mergeCell ref="A61:E61"/>
    <mergeCell ref="B9:D11"/>
    <mergeCell ref="B5:D5"/>
    <mergeCell ref="B6:D6"/>
    <mergeCell ref="B1:D1"/>
    <mergeCell ref="B2:D2"/>
    <mergeCell ref="B3:D3"/>
    <mergeCell ref="B4:D4"/>
  </mergeCells>
  <phoneticPr fontId="27" type="noConversion"/>
  <conditionalFormatting sqref="A34">
    <cfRule type="cellIs" dxfId="14" priority="5" operator="equal">
      <formula>"Answer Required"</formula>
    </cfRule>
  </conditionalFormatting>
  <conditionalFormatting sqref="A39">
    <cfRule type="cellIs" dxfId="13" priority="4" operator="equal">
      <formula>"Answer Required"</formula>
    </cfRule>
  </conditionalFormatting>
  <conditionalFormatting sqref="B46">
    <cfRule type="cellIs" dxfId="12" priority="6" operator="equal">
      <formula>"ERROR"</formula>
    </cfRule>
  </conditionalFormatting>
  <conditionalFormatting sqref="D32">
    <cfRule type="cellIs" dxfId="11" priority="7" operator="equal">
      <formula>"Answer Required"</formula>
    </cfRule>
  </conditionalFormatting>
  <conditionalFormatting sqref="E51:E59">
    <cfRule type="cellIs" dxfId="10" priority="1" operator="equal">
      <formula>"Answer Required"</formula>
    </cfRule>
  </conditionalFormatting>
  <dataValidations count="11">
    <dataValidation type="whole" allowBlank="1" showErrorMessage="1" sqref="B46:B47 B52:C59" xr:uid="{00000000-0002-0000-1000-000000000000}">
      <formula1>-9999999999999</formula1>
      <formula2>9999999999999</formula2>
    </dataValidation>
    <dataValidation type="whole" allowBlank="1" showErrorMessage="1" error="Amount must be rounded to the nearest dollar." sqref="B16:B17" xr:uid="{00000000-0002-0000-1000-000001000000}">
      <formula1>0</formula1>
      <formula2>9.99999999999999E+25</formula2>
    </dataValidation>
    <dataValidation allowBlank="1" showErrorMessage="1" sqref="B15" xr:uid="{00000000-0002-0000-1000-000002000000}"/>
    <dataValidation type="whole" allowBlank="1" showInputMessage="1" showErrorMessage="1" error="Enter a whole number." sqref="B45 B31" xr:uid="{00000000-0002-0000-1000-000003000000}">
      <formula1>-9999999999999</formula1>
      <formula2>9999999999999</formula2>
    </dataValidation>
    <dataValidation type="whole" allowBlank="1" showErrorMessage="1" error="Please enter a whole number." sqref="B35 B41:B43" xr:uid="{00000000-0002-0000-1000-000004000000}">
      <formula1>-999999999999999000000</formula1>
      <formula2>99999999999999900000</formula2>
    </dataValidation>
    <dataValidation type="whole" allowBlank="1" showErrorMessage="1" error="Please enter a negative whole number." sqref="B39" xr:uid="{00000000-0002-0000-1000-000005000000}">
      <formula1>-999999999999999000000</formula1>
      <formula2>0</formula2>
    </dataValidation>
    <dataValidation type="list" allowBlank="1" showInputMessage="1" showErrorMessage="1" error="Please use the drop-down list to select Yes, No, or N/A" sqref="D32" xr:uid="{00000000-0002-0000-1000-000006000000}">
      <formula1>$H$33:$H$35</formula1>
    </dataValidation>
    <dataValidation type="whole" allowBlank="1" showErrorMessage="1" error="Please enter a positive whole number." sqref="B32:B34" xr:uid="{00000000-0002-0000-1000-000007000000}">
      <formula1>0</formula1>
      <formula2>999999999999999000000</formula2>
    </dataValidation>
    <dataValidation type="whole" allowBlank="1" showErrorMessage="1" error="Please enter a whole number." sqref="B44" xr:uid="{00000000-0002-0000-1000-000008000000}">
      <formula1>-9999999999999</formula1>
      <formula2>9999999999999</formula2>
    </dataValidation>
    <dataValidation type="whole" allowBlank="1" showInputMessage="1" showErrorMessage="1" error="Enter a negative whole number." sqref="B27:B30 B18:B25" xr:uid="{00000000-0002-0000-1000-000009000000}">
      <formula1>-9999999999999</formula1>
      <formula2>0</formula2>
    </dataValidation>
    <dataValidation type="whole" allowBlank="1" showErrorMessage="1" error="Please enter a negative whole number." sqref="B36:B38" xr:uid="{00000000-0002-0000-1000-00000A000000}">
      <formula1>-9999999999999</formula1>
      <formula2>0</formula2>
    </dataValidation>
  </dataValidations>
  <pageMargins left="0.75" right="0.38" top="0.74" bottom="0.65" header="0.35" footer="0.33"/>
  <pageSetup scale="65" orientation="portrait" cellComments="asDisplayed" r:id="rId6"/>
  <headerFooter alignWithMargins="0">
    <oddHeader xml:space="preserve">&amp;C&amp;"Times New Roman,Bold"Attachment CU4
Financial Statement Template (FST)
&amp;A
</oddHeader>
    <oddFooter>&amp;L&amp;"Times New Roman,Regular"&amp;F \ &amp;A&amp;RPage &amp;P</oddFooter>
  </headerFooter>
  <legacyDrawing r:id="rId7"/>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R56"/>
  <sheetViews>
    <sheetView showGridLines="0" zoomScaleNormal="100" workbookViewId="0">
      <selection activeCell="B8" sqref="B8"/>
    </sheetView>
  </sheetViews>
  <sheetFormatPr defaultColWidth="9.140625" defaultRowHeight="12.75"/>
  <cols>
    <col min="2" max="2" width="20.85546875" customWidth="1"/>
    <col min="3" max="3" width="11.42578125" customWidth="1"/>
    <col min="7" max="7" width="9.5703125" customWidth="1"/>
    <col min="8" max="8" width="4" customWidth="1"/>
    <col min="10" max="10" width="4" customWidth="1"/>
    <col min="13" max="13" width="9.140625" customWidth="1"/>
    <col min="14" max="14" width="7.85546875" customWidth="1"/>
    <col min="18" max="18" width="9.140625" hidden="1" customWidth="1"/>
  </cols>
  <sheetData>
    <row r="1" spans="1:18">
      <c r="A1" s="1659" t="s">
        <v>507</v>
      </c>
      <c r="B1" s="1139"/>
      <c r="C1" s="1657" t="str">
        <f>'Component Unit Template'!G1</f>
        <v/>
      </c>
      <c r="D1" s="1657"/>
      <c r="E1" s="1657"/>
      <c r="F1" s="1657"/>
      <c r="G1" s="1657"/>
    </row>
    <row r="2" spans="1:18" ht="52.5" customHeight="1">
      <c r="A2" s="1659" t="s">
        <v>528</v>
      </c>
      <c r="B2" s="1139"/>
      <c r="C2" s="1658" t="str">
        <f>IF('Component Unit Template'!G2="","",'Component Unit Template'!G2)</f>
        <v/>
      </c>
      <c r="D2" s="1658"/>
      <c r="E2" s="1658"/>
      <c r="F2" s="1658"/>
      <c r="G2" s="1658"/>
    </row>
    <row r="3" spans="1:18">
      <c r="A3" s="102"/>
      <c r="B3" s="102"/>
      <c r="C3" s="102"/>
      <c r="D3" s="102"/>
      <c r="E3" s="102"/>
      <c r="F3" s="102"/>
      <c r="G3" s="102"/>
    </row>
    <row r="4" spans="1:18">
      <c r="A4" s="103"/>
      <c r="B4" s="103"/>
      <c r="C4" s="103"/>
      <c r="D4" s="103"/>
      <c r="E4" s="103"/>
      <c r="F4" s="103"/>
      <c r="G4" s="103"/>
    </row>
    <row r="5" spans="1:18" s="111" customFormat="1" ht="10.5" customHeight="1">
      <c r="A5" s="1635" t="s">
        <v>755</v>
      </c>
      <c r="B5" s="1635"/>
      <c r="C5" s="1635"/>
      <c r="D5" s="1635"/>
      <c r="E5" s="1635"/>
      <c r="F5" s="1635"/>
      <c r="G5" s="1635"/>
      <c r="H5" s="1635"/>
      <c r="I5" s="1635"/>
      <c r="J5" s="1635"/>
      <c r="K5" s="1635"/>
      <c r="L5" s="1635"/>
      <c r="M5" s="1635"/>
    </row>
    <row r="6" spans="1:18" s="111" customFormat="1" ht="24.75" customHeight="1">
      <c r="A6" s="1635" t="s">
        <v>898</v>
      </c>
      <c r="B6" s="1635"/>
      <c r="C6" s="1635"/>
      <c r="D6" s="1635"/>
      <c r="E6" s="1635"/>
      <c r="F6" s="1635"/>
      <c r="G6" s="1635"/>
      <c r="H6" s="1635"/>
      <c r="I6" s="1635"/>
      <c r="J6" s="1635"/>
      <c r="K6" s="1635"/>
      <c r="L6" s="1635"/>
      <c r="M6" s="1635"/>
      <c r="R6" s="111" t="s">
        <v>527</v>
      </c>
    </row>
    <row r="7" spans="1:18" s="111" customFormat="1">
      <c r="A7" s="370"/>
      <c r="B7" s="19"/>
      <c r="C7" s="19"/>
      <c r="D7" s="19"/>
      <c r="E7" s="19"/>
      <c r="F7" s="19"/>
      <c r="G7" s="19"/>
      <c r="H7" s="19"/>
      <c r="I7" s="19"/>
      <c r="J7" s="19"/>
      <c r="R7" s="111" t="s">
        <v>652</v>
      </c>
    </row>
    <row r="8" spans="1:18" s="111" customFormat="1" ht="30.75" customHeight="1">
      <c r="A8" s="371" t="s">
        <v>756</v>
      </c>
      <c r="B8" s="372" t="s">
        <v>752</v>
      </c>
      <c r="C8" s="1636" t="s">
        <v>757</v>
      </c>
      <c r="D8" s="1637"/>
      <c r="E8" s="1637"/>
      <c r="F8" s="1637"/>
      <c r="G8" s="1637"/>
      <c r="H8" s="1637"/>
      <c r="I8" s="1637"/>
      <c r="J8" s="1637"/>
      <c r="K8" s="1637"/>
      <c r="L8" s="1637"/>
      <c r="M8" s="1637"/>
    </row>
    <row r="9" spans="1:18" s="111" customFormat="1">
      <c r="A9" s="371"/>
      <c r="B9" s="374"/>
      <c r="C9" s="373"/>
      <c r="D9" s="19"/>
      <c r="E9" s="19"/>
      <c r="F9" s="19"/>
      <c r="G9" s="19"/>
      <c r="H9" s="19"/>
      <c r="I9" s="19"/>
      <c r="J9" s="19"/>
    </row>
    <row r="10" spans="1:18" s="111" customFormat="1">
      <c r="A10" s="371" t="s">
        <v>758</v>
      </c>
      <c r="B10" s="372" t="s">
        <v>752</v>
      </c>
      <c r="C10" s="1638" t="s">
        <v>759</v>
      </c>
      <c r="D10" s="1639"/>
      <c r="E10" s="1639"/>
      <c r="F10" s="1639"/>
      <c r="G10" s="1639"/>
      <c r="H10" s="1639"/>
      <c r="I10" s="1639"/>
      <c r="J10" s="1639"/>
      <c r="K10" s="1639"/>
      <c r="L10" s="1639"/>
      <c r="M10" s="1640"/>
    </row>
    <row r="11" spans="1:18" s="111" customFormat="1">
      <c r="A11" s="371"/>
      <c r="B11" s="374"/>
      <c r="C11" s="1647" t="s">
        <v>760</v>
      </c>
      <c r="D11" s="1648"/>
      <c r="E11" s="1648"/>
      <c r="F11" s="1648"/>
      <c r="G11" s="1648"/>
      <c r="H11" s="1648"/>
      <c r="I11" s="1648"/>
      <c r="J11" s="1648"/>
      <c r="K11" s="1648"/>
      <c r="L11" s="1648"/>
      <c r="M11" s="1649"/>
    </row>
    <row r="12" spans="1:18" s="111" customFormat="1" ht="25.5" customHeight="1">
      <c r="A12" s="371"/>
      <c r="B12" s="374"/>
      <c r="C12" s="1650" t="s">
        <v>761</v>
      </c>
      <c r="D12" s="1212"/>
      <c r="E12" s="1212"/>
      <c r="F12" s="1212"/>
      <c r="G12" s="1212"/>
      <c r="H12" s="1212"/>
      <c r="I12" s="1212"/>
      <c r="J12" s="1212"/>
      <c r="K12" s="1212"/>
      <c r="L12" s="1212"/>
      <c r="M12" s="1651"/>
    </row>
    <row r="13" spans="1:18" s="111" customFormat="1">
      <c r="A13" s="23"/>
      <c r="B13" s="19"/>
      <c r="C13" s="19"/>
      <c r="D13" s="19"/>
      <c r="E13" s="19"/>
      <c r="F13" s="19"/>
      <c r="G13" s="19"/>
      <c r="H13" s="19"/>
      <c r="I13" s="19"/>
      <c r="J13" s="19"/>
    </row>
    <row r="14" spans="1:18" s="111" customFormat="1" ht="12.75" customHeight="1">
      <c r="A14" s="371" t="s">
        <v>762</v>
      </c>
      <c r="B14" s="372" t="s">
        <v>752</v>
      </c>
      <c r="C14" s="1644" t="s">
        <v>763</v>
      </c>
      <c r="D14" s="1645"/>
      <c r="E14" s="1645"/>
      <c r="F14" s="1645"/>
      <c r="G14" s="1645"/>
      <c r="H14" s="1645"/>
      <c r="I14" s="1645"/>
      <c r="J14" s="1645"/>
      <c r="K14" s="1645"/>
      <c r="L14" s="1645"/>
      <c r="M14" s="1646"/>
    </row>
    <row r="15" spans="1:18" s="111" customFormat="1">
      <c r="A15" s="371"/>
      <c r="B15" s="374"/>
      <c r="C15" s="374"/>
      <c r="E15" s="19"/>
      <c r="F15" s="19"/>
      <c r="G15" s="19"/>
      <c r="H15" s="19"/>
      <c r="I15" s="19"/>
      <c r="J15" s="19"/>
    </row>
    <row r="16" spans="1:18" s="111" customFormat="1" ht="27" customHeight="1">
      <c r="A16" s="371" t="s">
        <v>764</v>
      </c>
      <c r="B16" s="935" t="str">
        <f>IF(OR('Component Unit Template'!K251&lt;&gt;0,'Component Unit Template'!K252&lt;&gt;0),"Answer Required","N/A")</f>
        <v>N/A</v>
      </c>
      <c r="C16" s="1638" t="s">
        <v>765</v>
      </c>
      <c r="D16" s="1639"/>
      <c r="E16" s="1639"/>
      <c r="F16" s="1639"/>
      <c r="G16" s="1639"/>
      <c r="H16" s="1639"/>
      <c r="I16" s="1639"/>
      <c r="J16" s="1639"/>
      <c r="K16" s="1639"/>
      <c r="L16" s="1639"/>
      <c r="M16" s="1640"/>
    </row>
    <row r="17" spans="1:15" s="111" customFormat="1" ht="12.75" customHeight="1">
      <c r="A17" s="371"/>
      <c r="B17" s="374"/>
      <c r="C17" s="1652" t="s">
        <v>766</v>
      </c>
      <c r="D17" s="1398"/>
      <c r="E17" s="1398"/>
      <c r="F17" s="1398"/>
      <c r="G17" s="1398"/>
      <c r="H17" s="1398"/>
      <c r="I17" s="1398"/>
      <c r="J17" s="1398"/>
      <c r="K17" s="1398"/>
      <c r="L17" s="1398"/>
      <c r="M17" s="1653"/>
    </row>
    <row r="18" spans="1:15" s="111" customFormat="1" ht="25.5" customHeight="1">
      <c r="A18" s="371"/>
      <c r="B18" s="374"/>
      <c r="C18" s="1641" t="s">
        <v>767</v>
      </c>
      <c r="D18" s="1642"/>
      <c r="E18" s="1642"/>
      <c r="F18" s="1642"/>
      <c r="G18" s="1642"/>
      <c r="H18" s="1642"/>
      <c r="I18" s="1642"/>
      <c r="J18" s="1642"/>
      <c r="K18" s="1642"/>
      <c r="L18" s="1642"/>
      <c r="M18" s="1643"/>
    </row>
    <row r="19" spans="1:15" s="111" customFormat="1">
      <c r="A19" s="23"/>
      <c r="B19" s="19"/>
      <c r="C19" s="19"/>
      <c r="D19" s="19"/>
      <c r="E19" s="19"/>
      <c r="F19" s="19"/>
      <c r="G19" s="19"/>
      <c r="H19" s="19"/>
      <c r="I19" s="19"/>
      <c r="J19" s="19"/>
    </row>
    <row r="20" spans="1:15" s="111" customFormat="1" ht="12.75" customHeight="1">
      <c r="A20" s="371" t="s">
        <v>768</v>
      </c>
      <c r="B20" s="372" t="s">
        <v>752</v>
      </c>
      <c r="C20" s="1644" t="s">
        <v>769</v>
      </c>
      <c r="D20" s="1645"/>
      <c r="E20" s="1645"/>
      <c r="F20" s="1645"/>
      <c r="G20" s="1645"/>
      <c r="H20" s="1645"/>
      <c r="I20" s="1645"/>
      <c r="J20" s="1645"/>
      <c r="K20" s="1645"/>
      <c r="L20" s="1645"/>
      <c r="M20" s="1646"/>
    </row>
    <row r="21" spans="1:15" s="111" customFormat="1">
      <c r="A21" s="23"/>
      <c r="B21" s="19"/>
      <c r="C21" s="19"/>
      <c r="D21" s="19"/>
      <c r="E21" s="19"/>
      <c r="F21" s="19"/>
      <c r="H21" s="19"/>
      <c r="I21" s="19"/>
      <c r="J21" s="19"/>
    </row>
    <row r="22" spans="1:15" s="111" customFormat="1" ht="27.75" customHeight="1">
      <c r="A22" s="371" t="s">
        <v>770</v>
      </c>
      <c r="B22" s="372" t="s">
        <v>752</v>
      </c>
      <c r="C22" s="1627" t="s">
        <v>1063</v>
      </c>
      <c r="D22" s="1628"/>
      <c r="E22" s="1628"/>
      <c r="F22" s="1628"/>
      <c r="G22" s="1628"/>
      <c r="H22" s="1628"/>
      <c r="I22" s="1628"/>
      <c r="J22" s="1628"/>
      <c r="K22" s="1628"/>
      <c r="L22" s="1628"/>
      <c r="M22" s="1629"/>
    </row>
    <row r="23" spans="1:15" s="111" customFormat="1">
      <c r="A23" s="370"/>
      <c r="B23" s="19"/>
      <c r="C23" s="19"/>
      <c r="D23" s="19"/>
      <c r="E23" s="19"/>
      <c r="F23" s="19"/>
      <c r="H23" s="19"/>
      <c r="I23" s="19"/>
      <c r="J23" s="19"/>
    </row>
    <row r="24" spans="1:15" s="111" customFormat="1" ht="28.5" customHeight="1">
      <c r="A24" s="375" t="s">
        <v>771</v>
      </c>
      <c r="B24" s="372" t="s">
        <v>752</v>
      </c>
      <c r="C24" s="1630" t="s">
        <v>910</v>
      </c>
      <c r="D24" s="1631"/>
      <c r="E24" s="1631"/>
      <c r="F24" s="1631"/>
      <c r="G24" s="1631"/>
      <c r="H24" s="1631"/>
      <c r="I24" s="1631"/>
      <c r="J24" s="1631"/>
      <c r="K24" s="1631"/>
      <c r="L24" s="1631"/>
      <c r="M24" s="1632"/>
    </row>
    <row r="25" spans="1:15" s="111" customFormat="1" ht="41.25" customHeight="1">
      <c r="A25" s="376"/>
      <c r="C25" s="1654" t="s">
        <v>911</v>
      </c>
      <c r="D25" s="1655"/>
      <c r="E25" s="1655"/>
      <c r="F25" s="1655"/>
      <c r="G25" s="1655"/>
      <c r="H25" s="1655"/>
      <c r="I25" s="1655"/>
      <c r="J25" s="1655"/>
      <c r="K25" s="1655"/>
      <c r="L25" s="1655"/>
      <c r="M25" s="1656"/>
    </row>
    <row r="26" spans="1:15" s="111" customFormat="1">
      <c r="A26" s="376"/>
      <c r="B26" s="19"/>
      <c r="C26" s="19"/>
      <c r="D26" s="19"/>
      <c r="E26" s="19"/>
      <c r="F26" s="19"/>
      <c r="G26" s="19"/>
      <c r="H26" s="19"/>
      <c r="I26" s="19"/>
      <c r="J26" s="19"/>
    </row>
    <row r="27" spans="1:15" s="111" customFormat="1" ht="12.75" hidden="1" customHeight="1">
      <c r="H27" s="19"/>
      <c r="I27" s="19"/>
      <c r="J27" s="19"/>
      <c r="K27" s="1295"/>
      <c r="L27" s="1295"/>
      <c r="M27" s="1295"/>
      <c r="N27" s="1295"/>
      <c r="O27" s="1295"/>
    </row>
    <row r="28" spans="1:15" s="111" customFormat="1" ht="12.75" customHeight="1">
      <c r="B28" s="112" t="s">
        <v>669</v>
      </c>
      <c r="H28" s="19"/>
      <c r="I28" s="18" t="s">
        <v>429</v>
      </c>
      <c r="J28" s="18"/>
      <c r="K28" s="1295"/>
      <c r="L28" s="1295"/>
      <c r="M28" s="1295"/>
      <c r="N28" s="1295"/>
      <c r="O28" s="1295"/>
    </row>
    <row r="29" spans="1:15" s="111" customFormat="1">
      <c r="H29" s="19"/>
      <c r="I29" s="19"/>
      <c r="J29" s="19"/>
    </row>
    <row r="30" spans="1:15" s="111" customFormat="1" ht="12.75" customHeight="1">
      <c r="A30" s="113"/>
      <c r="B30" s="377" t="s">
        <v>670</v>
      </c>
      <c r="C30" s="1633"/>
      <c r="D30" s="1634"/>
      <c r="E30" s="1634"/>
      <c r="F30" s="1634"/>
      <c r="G30" s="1634"/>
      <c r="H30" s="19"/>
      <c r="I30" s="251"/>
      <c r="J30" s="378"/>
      <c r="K30" s="549"/>
      <c r="L30" s="1295" t="s">
        <v>929</v>
      </c>
      <c r="M30" s="1295"/>
      <c r="N30" s="1295"/>
      <c r="O30" s="1295"/>
    </row>
    <row r="31" spans="1:15" s="111" customFormat="1">
      <c r="A31" s="113"/>
      <c r="B31" s="377" t="s">
        <v>671</v>
      </c>
      <c r="C31" s="1633"/>
      <c r="D31" s="1634"/>
      <c r="E31" s="1634"/>
      <c r="F31" s="1634"/>
      <c r="G31" s="1634"/>
      <c r="H31" s="19"/>
      <c r="I31" s="19"/>
      <c r="J31" s="19"/>
      <c r="K31" s="549"/>
      <c r="L31" s="1295"/>
      <c r="M31" s="1295"/>
      <c r="N31" s="1295"/>
      <c r="O31" s="1295"/>
    </row>
    <row r="32" spans="1:15" s="114" customFormat="1" ht="12.6" customHeight="1">
      <c r="B32" s="115"/>
      <c r="H32" s="19"/>
      <c r="I32" s="19"/>
      <c r="J32" s="19"/>
      <c r="L32" s="475"/>
    </row>
    <row r="33" spans="1:15" s="114" customFormat="1" ht="13.5" customHeight="1">
      <c r="A33" s="113"/>
      <c r="B33" s="377" t="s">
        <v>670</v>
      </c>
      <c r="C33" s="1633"/>
      <c r="D33" s="1634"/>
      <c r="E33" s="1634"/>
      <c r="F33" s="1634"/>
      <c r="G33" s="1634"/>
      <c r="H33" s="19"/>
      <c r="I33" s="251"/>
      <c r="J33" s="378"/>
      <c r="K33" s="507"/>
      <c r="L33" s="1295" t="s">
        <v>929</v>
      </c>
      <c r="M33" s="1295"/>
      <c r="N33" s="1295"/>
      <c r="O33" s="1295"/>
    </row>
    <row r="34" spans="1:15" s="114" customFormat="1" ht="12.6" customHeight="1">
      <c r="A34" s="113"/>
      <c r="B34" s="377" t="s">
        <v>671</v>
      </c>
      <c r="C34" s="1633"/>
      <c r="D34" s="1634"/>
      <c r="E34" s="1634"/>
      <c r="F34" s="1634"/>
      <c r="G34" s="1634"/>
      <c r="H34" s="19"/>
      <c r="I34" s="19"/>
      <c r="J34" s="19"/>
      <c r="K34" s="111"/>
      <c r="L34" s="1295"/>
      <c r="M34" s="1295"/>
      <c r="N34" s="1295"/>
      <c r="O34" s="1295"/>
    </row>
    <row r="35" spans="1:15" s="114" customFormat="1" ht="12.6" customHeight="1">
      <c r="B35" s="115"/>
      <c r="H35" s="19"/>
      <c r="I35" s="19"/>
      <c r="J35" s="19"/>
      <c r="L35" s="379"/>
    </row>
    <row r="36" spans="1:15" s="114" customFormat="1" ht="13.5" customHeight="1">
      <c r="A36" s="113"/>
      <c r="B36" s="377" t="s">
        <v>670</v>
      </c>
      <c r="C36" s="1633"/>
      <c r="D36" s="1634"/>
      <c r="E36" s="1634"/>
      <c r="F36" s="1634"/>
      <c r="G36" s="1634"/>
      <c r="H36" s="19"/>
      <c r="I36" s="251"/>
      <c r="J36" s="378"/>
      <c r="K36" s="507"/>
      <c r="L36" s="1295" t="s">
        <v>929</v>
      </c>
      <c r="M36" s="1295"/>
      <c r="N36" s="1295"/>
      <c r="O36" s="1295"/>
    </row>
    <row r="37" spans="1:15" s="114" customFormat="1" ht="12.6" customHeight="1">
      <c r="A37" s="113"/>
      <c r="B37" s="377" t="s">
        <v>671</v>
      </c>
      <c r="C37" s="1633"/>
      <c r="D37" s="1634"/>
      <c r="E37" s="1634"/>
      <c r="F37" s="1634"/>
      <c r="G37" s="1634"/>
      <c r="H37" s="19"/>
      <c r="I37" s="19"/>
      <c r="J37" s="19"/>
      <c r="K37" s="111"/>
      <c r="L37" s="1295"/>
      <c r="M37" s="1295"/>
      <c r="N37" s="1295"/>
      <c r="O37" s="1295"/>
    </row>
    <row r="38" spans="1:15" s="114" customFormat="1" ht="12.6" customHeight="1">
      <c r="A38" s="111"/>
      <c r="B38" s="111"/>
      <c r="C38" s="111"/>
      <c r="D38" s="111"/>
      <c r="E38" s="111"/>
      <c r="F38" s="111"/>
      <c r="G38" s="111"/>
      <c r="H38" s="19"/>
      <c r="I38" s="19"/>
      <c r="J38" s="19"/>
      <c r="L38" s="379"/>
    </row>
    <row r="39" spans="1:15" s="114" customFormat="1" ht="13.5" customHeight="1">
      <c r="A39" s="113"/>
      <c r="B39" s="377" t="s">
        <v>670</v>
      </c>
      <c r="C39" s="1633"/>
      <c r="D39" s="1634"/>
      <c r="E39" s="1634"/>
      <c r="F39" s="1634"/>
      <c r="G39" s="1634"/>
      <c r="H39" s="19"/>
      <c r="I39" s="251"/>
      <c r="J39" s="378"/>
      <c r="K39" s="507"/>
      <c r="L39" s="1295" t="s">
        <v>929</v>
      </c>
      <c r="M39" s="1295"/>
      <c r="N39" s="1295"/>
      <c r="O39" s="1295"/>
    </row>
    <row r="40" spans="1:15" s="111" customFormat="1">
      <c r="A40" s="113"/>
      <c r="B40" s="377" t="s">
        <v>671</v>
      </c>
      <c r="C40" s="1633"/>
      <c r="D40" s="1634"/>
      <c r="E40" s="1634"/>
      <c r="F40" s="1634"/>
      <c r="G40" s="1634"/>
      <c r="H40" s="19"/>
      <c r="I40" s="19"/>
      <c r="J40" s="19"/>
      <c r="L40" s="1295"/>
      <c r="M40" s="1295"/>
      <c r="N40" s="1295"/>
      <c r="O40" s="1295"/>
    </row>
    <row r="41" spans="1:15" s="114" customFormat="1" ht="12.6" customHeight="1">
      <c r="A41" s="111"/>
      <c r="B41" s="111"/>
      <c r="C41" s="111"/>
      <c r="D41" s="111"/>
      <c r="E41" s="111"/>
      <c r="F41" s="111"/>
      <c r="G41" s="111"/>
      <c r="H41" s="19"/>
      <c r="I41" s="19"/>
      <c r="J41" s="19"/>
      <c r="L41" s="379"/>
    </row>
    <row r="42" spans="1:15" s="114" customFormat="1" ht="13.5" customHeight="1">
      <c r="A42" s="111"/>
      <c r="B42" s="112" t="s">
        <v>672</v>
      </c>
      <c r="C42" s="111"/>
      <c r="D42" s="111"/>
      <c r="E42" s="111"/>
      <c r="F42" s="111"/>
      <c r="G42" s="111"/>
      <c r="H42" s="19"/>
      <c r="I42" s="18" t="s">
        <v>429</v>
      </c>
      <c r="J42" s="18"/>
      <c r="L42" s="379"/>
    </row>
    <row r="43" spans="1:15" s="111" customFormat="1">
      <c r="H43" s="19"/>
      <c r="I43" s="19"/>
      <c r="J43" s="19"/>
    </row>
    <row r="44" spans="1:15" s="111" customFormat="1" ht="12.75" customHeight="1">
      <c r="A44" s="113"/>
      <c r="B44" s="377" t="s">
        <v>670</v>
      </c>
      <c r="C44" s="1633"/>
      <c r="D44" s="1634"/>
      <c r="E44" s="1634"/>
      <c r="F44" s="1634"/>
      <c r="G44" s="1634"/>
      <c r="H44" s="19"/>
      <c r="I44" s="251"/>
      <c r="J44" s="378"/>
      <c r="K44" s="507"/>
      <c r="L44" s="1295" t="s">
        <v>928</v>
      </c>
      <c r="M44" s="1295"/>
      <c r="N44" s="1295"/>
      <c r="O44" s="1295"/>
    </row>
    <row r="45" spans="1:15" s="111" customFormat="1">
      <c r="A45" s="113"/>
      <c r="B45" s="377" t="s">
        <v>671</v>
      </c>
      <c r="C45" s="1633"/>
      <c r="D45" s="1634"/>
      <c r="E45" s="1634"/>
      <c r="F45" s="1634"/>
      <c r="G45" s="1634"/>
      <c r="H45" s="19"/>
      <c r="I45" s="19"/>
      <c r="J45" s="19"/>
      <c r="L45" s="1295"/>
      <c r="M45" s="1295"/>
      <c r="N45" s="1295"/>
      <c r="O45" s="1295"/>
    </row>
    <row r="46" spans="1:15" s="114" customFormat="1" ht="12.6" customHeight="1">
      <c r="B46" s="115"/>
      <c r="H46" s="19"/>
      <c r="I46" s="19"/>
      <c r="J46" s="19"/>
      <c r="L46" s="379"/>
    </row>
    <row r="47" spans="1:15" s="114" customFormat="1" ht="13.5" customHeight="1">
      <c r="A47" s="113"/>
      <c r="B47" s="377" t="s">
        <v>670</v>
      </c>
      <c r="C47" s="1633"/>
      <c r="D47" s="1634"/>
      <c r="E47" s="1634"/>
      <c r="F47" s="1634"/>
      <c r="G47" s="1634"/>
      <c r="H47" s="19"/>
      <c r="I47" s="251"/>
      <c r="J47" s="378"/>
      <c r="K47" s="507"/>
      <c r="L47" s="1295" t="s">
        <v>928</v>
      </c>
      <c r="M47" s="1295"/>
      <c r="N47" s="1295"/>
      <c r="O47" s="1295"/>
    </row>
    <row r="48" spans="1:15" s="114" customFormat="1" ht="12.6" customHeight="1">
      <c r="A48" s="113"/>
      <c r="B48" s="377" t="s">
        <v>671</v>
      </c>
      <c r="C48" s="1633"/>
      <c r="D48" s="1634"/>
      <c r="E48" s="1634"/>
      <c r="F48" s="1634"/>
      <c r="G48" s="1634"/>
      <c r="H48" s="19"/>
      <c r="I48" s="19"/>
      <c r="J48" s="19"/>
      <c r="K48" s="111"/>
      <c r="L48" s="1295"/>
      <c r="M48" s="1295"/>
      <c r="N48" s="1295"/>
      <c r="O48" s="1295"/>
    </row>
    <row r="49" spans="1:15" s="114" customFormat="1" ht="12.6" customHeight="1">
      <c r="B49" s="115"/>
      <c r="H49" s="19"/>
      <c r="I49" s="19"/>
      <c r="J49" s="19"/>
      <c r="L49" s="379"/>
    </row>
    <row r="50" spans="1:15" s="114" customFormat="1" ht="13.5" customHeight="1">
      <c r="A50" s="113"/>
      <c r="B50" s="377" t="s">
        <v>670</v>
      </c>
      <c r="C50" s="1633"/>
      <c r="D50" s="1634"/>
      <c r="E50" s="1634"/>
      <c r="F50" s="1634"/>
      <c r="G50" s="1634"/>
      <c r="H50" s="19"/>
      <c r="I50" s="251"/>
      <c r="J50" s="378"/>
      <c r="K50" s="507"/>
      <c r="L50" s="1295" t="s">
        <v>928</v>
      </c>
      <c r="M50" s="1295"/>
      <c r="N50" s="1295"/>
      <c r="O50" s="1295"/>
    </row>
    <row r="51" spans="1:15" s="114" customFormat="1" ht="12.6" customHeight="1">
      <c r="A51" s="113"/>
      <c r="B51" s="377" t="s">
        <v>671</v>
      </c>
      <c r="C51" s="1633"/>
      <c r="D51" s="1634"/>
      <c r="E51" s="1634"/>
      <c r="F51" s="1634"/>
      <c r="G51" s="1634"/>
      <c r="H51" s="19"/>
      <c r="I51" s="19"/>
      <c r="J51" s="19"/>
      <c r="K51" s="111"/>
      <c r="L51" s="1295"/>
      <c r="M51" s="1295"/>
      <c r="N51" s="1295"/>
      <c r="O51" s="1295"/>
    </row>
    <row r="52" spans="1:15" s="114" customFormat="1" ht="12.6" customHeight="1">
      <c r="A52" s="111"/>
      <c r="B52" s="111"/>
      <c r="C52" s="111"/>
      <c r="D52" s="111"/>
      <c r="E52" s="111"/>
      <c r="F52" s="111"/>
      <c r="G52" s="111"/>
      <c r="H52" s="19"/>
      <c r="I52" s="19"/>
      <c r="J52" s="19"/>
      <c r="L52" s="379"/>
    </row>
    <row r="53" spans="1:15" s="114" customFormat="1" ht="13.5" customHeight="1">
      <c r="A53" s="113"/>
      <c r="B53" s="377" t="s">
        <v>670</v>
      </c>
      <c r="C53" s="1633"/>
      <c r="D53" s="1634"/>
      <c r="E53" s="1634"/>
      <c r="F53" s="1634"/>
      <c r="G53" s="1634"/>
      <c r="H53" s="19"/>
      <c r="I53" s="251"/>
      <c r="J53" s="378"/>
      <c r="K53" s="507"/>
      <c r="L53" s="1295" t="s">
        <v>928</v>
      </c>
      <c r="M53" s="1295"/>
      <c r="N53" s="1295"/>
      <c r="O53" s="1295"/>
    </row>
    <row r="54" spans="1:15" s="111" customFormat="1">
      <c r="A54" s="113"/>
      <c r="B54" s="377" t="s">
        <v>671</v>
      </c>
      <c r="C54" s="1633"/>
      <c r="D54" s="1634"/>
      <c r="E54" s="1634"/>
      <c r="F54" s="1634"/>
      <c r="G54" s="1634"/>
      <c r="H54" s="19"/>
      <c r="I54" s="19"/>
      <c r="J54" s="19"/>
      <c r="L54" s="1295"/>
      <c r="M54" s="1295"/>
      <c r="N54" s="1295"/>
      <c r="O54" s="1295"/>
    </row>
    <row r="55" spans="1:15" s="111" customFormat="1"/>
    <row r="56" spans="1:15">
      <c r="I56" s="114"/>
    </row>
  </sheetData>
  <sheetProtection algorithmName="SHA-512" hashValue="MjQTwqjXRt5wWkvza2u8QWTDhXd26xs0ksEAzz7P+vfV++Dt6JVmTggrm58IkU14w59W+SewjWqtzQGPHT66Fg==" saltValue="E6VcDQOw500p2Vlqx/+5fA==" spinCount="100000" sheet="1" objects="1" scenarios="1"/>
  <customSheetViews>
    <customSheetView guid="{FBB78E72-3FBC-498A-91AC-D094BCE26D3C}" showGridLines="0" hiddenRows="1" hiddenColumns="1">
      <selection activeCell="G2" sqref="G2:J2"/>
      <colBreaks count="1" manualBreakCount="1">
        <brk id="15" max="1048575" man="1"/>
      </colBreaks>
      <pageMargins left="0.75" right="0.32" top="0.89" bottom="0.78" header="0.31" footer="0.5"/>
      <pageSetup scale="70" orientation="portrait" r:id="rId1"/>
      <headerFooter alignWithMargins="0">
        <oddHeader>&amp;C&amp;"Times New Roman,Bold"Attachment CU4
Financial Statement Template (FST)
&amp;A</oddHeader>
        <oddFooter>&amp;L&amp;"Times New Roman,Regular"&amp;F \ &amp;A&amp;R&amp;"Times New Roman,Regular"Page &amp;P</oddFooter>
      </headerFooter>
    </customSheetView>
    <customSheetView guid="{A5477BC9-FA34-449D-B0C2-AF3469BA8BF0}" showGridLines="0" hiddenRows="1" hiddenColumns="1">
      <selection activeCell="G2" sqref="G2:J2"/>
      <colBreaks count="1" manualBreakCount="1">
        <brk id="15" max="1048575" man="1"/>
      </colBreaks>
      <pageMargins left="0.75" right="0.32" top="0.89" bottom="0.78" header="0.31" footer="0.5"/>
      <pageSetup scale="70" orientation="portrait" r:id="rId2"/>
      <headerFooter alignWithMargins="0">
        <oddHeader>&amp;C&amp;"Times New Roman,Bold"Attachment CU4
Financial Statement Template (FST)
&amp;A</oddHeader>
        <oddFooter>&amp;L&amp;"Times New Roman,Regular"&amp;F \ &amp;A&amp;R&amp;"Times New Roman,Regular"Page &amp;P</oddFooter>
      </headerFooter>
    </customSheetView>
    <customSheetView guid="{DFFBE5FE-C073-48C5-BDD2-B0EAD8B5A8E7}" showGridLines="0" hiddenRows="1" hiddenColumns="1">
      <selection activeCell="G2" sqref="G2:J2"/>
      <colBreaks count="1" manualBreakCount="1">
        <brk id="15" max="1048575" man="1"/>
      </colBreaks>
      <pageMargins left="0.75" right="0.32" top="0.89" bottom="0.78" header="0.31" footer="0.5"/>
      <pageSetup scale="70" orientation="portrait" r:id="rId3"/>
      <headerFooter alignWithMargins="0">
        <oddHeader>&amp;C&amp;"Times New Roman,Bold"Attachment CU4
Financial Statement Template (FST)
&amp;A</oddHeader>
        <oddFooter>&amp;L&amp;"Times New Roman,Regular"&amp;F \ &amp;A&amp;R&amp;"Times New Roman,Regular"Page &amp;P</oddFooter>
      </headerFooter>
    </customSheetView>
    <customSheetView guid="{9A25463D-BF6D-4A94-84A5-80E7F3451C59}" showGridLines="0" hiddenRows="1" hiddenColumns="1">
      <selection sqref="A1:B1"/>
      <colBreaks count="1" manualBreakCount="1">
        <brk id="15" max="1048575" man="1"/>
      </colBreaks>
      <pageMargins left="0.75" right="0.32" top="0.89" bottom="0.78" header="0.31" footer="0.5"/>
      <pageSetup scale="70" orientation="portrait" r:id="rId4"/>
      <headerFooter alignWithMargins="0">
        <oddHeader>&amp;C&amp;"Times New Roman,Bold"Attachment CU4
Financial Statement Template (FST)
&amp;A</oddHeader>
        <oddFooter>&amp;L&amp;"Times New Roman,Regular"&amp;F \ &amp;A&amp;R&amp;"Times New Roman,Regular"Page &amp;P</oddFooter>
      </headerFooter>
    </customSheetView>
    <customSheetView guid="{10B70302-090E-4CFD-BAE6-CC560B897D26}" showGridLines="0" hiddenRows="1" hiddenColumns="1">
      <selection activeCell="B8" sqref="B8"/>
      <colBreaks count="1" manualBreakCount="1">
        <brk id="15" max="1048575" man="1"/>
      </colBreaks>
      <pageMargins left="0.75" right="0.32" top="0.89" bottom="0.78" header="0.31" footer="0.5"/>
      <pageSetup scale="70" orientation="portrait" r:id="rId5"/>
      <headerFooter alignWithMargins="0">
        <oddHeader>&amp;C&amp;"Times New Roman,Bold"Attachment CU4
Financial Statement Template (FST)
&amp;A</oddHeader>
        <oddFooter>&amp;L&amp;"Times New Roman,Regular"&amp;F \ &amp;A&amp;R&amp;"Times New Roman,Regular"Page &amp;P</oddFooter>
      </headerFooter>
    </customSheetView>
  </customSheetViews>
  <mergeCells count="43">
    <mergeCell ref="C53:G53"/>
    <mergeCell ref="L53:O54"/>
    <mergeCell ref="C54:G54"/>
    <mergeCell ref="C47:G47"/>
    <mergeCell ref="L47:O48"/>
    <mergeCell ref="C48:G48"/>
    <mergeCell ref="C50:G50"/>
    <mergeCell ref="L50:O51"/>
    <mergeCell ref="C51:G51"/>
    <mergeCell ref="C39:G39"/>
    <mergeCell ref="L39:O40"/>
    <mergeCell ref="C40:G40"/>
    <mergeCell ref="C44:G44"/>
    <mergeCell ref="L44:O45"/>
    <mergeCell ref="C45:G45"/>
    <mergeCell ref="L30:O31"/>
    <mergeCell ref="C31:G31"/>
    <mergeCell ref="L33:O34"/>
    <mergeCell ref="C34:G34"/>
    <mergeCell ref="C36:G36"/>
    <mergeCell ref="L36:O37"/>
    <mergeCell ref="C37:G37"/>
    <mergeCell ref="C1:G1"/>
    <mergeCell ref="C2:G2"/>
    <mergeCell ref="A1:B1"/>
    <mergeCell ref="A2:B2"/>
    <mergeCell ref="A5:M5"/>
    <mergeCell ref="C22:M22"/>
    <mergeCell ref="C24:M24"/>
    <mergeCell ref="C33:G33"/>
    <mergeCell ref="C30:G30"/>
    <mergeCell ref="A6:M6"/>
    <mergeCell ref="C8:M8"/>
    <mergeCell ref="C10:M10"/>
    <mergeCell ref="C18:M18"/>
    <mergeCell ref="C20:M20"/>
    <mergeCell ref="C11:M11"/>
    <mergeCell ref="C12:M12"/>
    <mergeCell ref="C14:M14"/>
    <mergeCell ref="C16:M16"/>
    <mergeCell ref="C17:M17"/>
    <mergeCell ref="C25:M25"/>
    <mergeCell ref="K27:O28"/>
  </mergeCells>
  <phoneticPr fontId="27" type="noConversion"/>
  <conditionalFormatting sqref="B8 B10 B14 B20 B22">
    <cfRule type="cellIs" dxfId="9" priority="28" operator="equal">
      <formula>"Error"</formula>
    </cfRule>
  </conditionalFormatting>
  <conditionalFormatting sqref="B8">
    <cfRule type="cellIs" dxfId="8" priority="26" operator="equal">
      <formula>"Answer Required"</formula>
    </cfRule>
  </conditionalFormatting>
  <conditionalFormatting sqref="B10">
    <cfRule type="cellIs" dxfId="7" priority="3" operator="equal">
      <formula>"Answer Required"</formula>
    </cfRule>
  </conditionalFormatting>
  <conditionalFormatting sqref="B14">
    <cfRule type="cellIs" dxfId="6" priority="10" operator="equal">
      <formula>"Answer Required"</formula>
    </cfRule>
  </conditionalFormatting>
  <conditionalFormatting sqref="B16">
    <cfRule type="cellIs" dxfId="5" priority="1" operator="equal">
      <formula>"Answer Required"</formula>
    </cfRule>
    <cfRule type="cellIs" dxfId="4" priority="2" operator="equal">
      <formula>"Error"</formula>
    </cfRule>
  </conditionalFormatting>
  <conditionalFormatting sqref="B20">
    <cfRule type="cellIs" dxfId="3" priority="8" operator="equal">
      <formula>"Answer Required"</formula>
    </cfRule>
  </conditionalFormatting>
  <conditionalFormatting sqref="B22">
    <cfRule type="cellIs" dxfId="2" priority="7" operator="equal">
      <formula>"Answer Required"</formula>
    </cfRule>
  </conditionalFormatting>
  <conditionalFormatting sqref="B24">
    <cfRule type="cellIs" dxfId="1" priority="4" operator="equal">
      <formula>"Answer Required"</formula>
    </cfRule>
    <cfRule type="cellIs" dxfId="0" priority="5" operator="equal">
      <formula>"Error"</formula>
    </cfRule>
  </conditionalFormatting>
  <dataValidations count="1">
    <dataValidation type="list" allowBlank="1" showInputMessage="1" showErrorMessage="1" error="Please use drop-down list to select Yes or No" sqref="B24 B8 B10 B14 B20 B22 B16" xr:uid="{00000000-0002-0000-1100-000000000000}">
      <formula1>$R$6:$R$7</formula1>
    </dataValidation>
  </dataValidations>
  <pageMargins left="0.75" right="0.32" top="0.89" bottom="0.78" header="0.31" footer="0.5"/>
  <pageSetup scale="69" orientation="portrait" r:id="rId6"/>
  <headerFooter alignWithMargins="0">
    <oddHeader>&amp;C&amp;"Times New Roman,Bold"Attachment CU4
Financial Statement Template (FST)
&amp;A</oddHeader>
    <oddFooter>&amp;L&amp;"Times New Roman,Regular"&amp;F \ &amp;A&amp;RPage &amp;P</oddFooter>
  </headerFooter>
  <colBreaks count="1" manualBreakCount="1">
    <brk id="15" max="1048575" man="1"/>
  </colBreaks>
  <drawing r:id="rId7"/>
  <legacyDrawing r:id="rId8"/>
  <mc:AlternateContent xmlns:mc="http://schemas.openxmlformats.org/markup-compatibility/2006">
    <mc:Choice Requires="x14">
      <controls>
        <mc:AlternateContent xmlns:mc="http://schemas.openxmlformats.org/markup-compatibility/2006">
          <mc:Choice Requires="x14">
            <control shapeId="36918" r:id="rId9" name="Check Box 54">
              <controlPr defaultSize="0" autoFill="0" autoLine="0" autoPict="0">
                <anchor moveWithCells="1">
                  <from>
                    <xdr:col>10</xdr:col>
                    <xdr:colOff>295275</xdr:colOff>
                    <xdr:row>29</xdr:row>
                    <xdr:rowOff>28575</xdr:rowOff>
                  </from>
                  <to>
                    <xdr:col>10</xdr:col>
                    <xdr:colOff>504825</xdr:colOff>
                    <xdr:row>30</xdr:row>
                    <xdr:rowOff>19050</xdr:rowOff>
                  </to>
                </anchor>
              </controlPr>
            </control>
          </mc:Choice>
        </mc:AlternateContent>
        <mc:AlternateContent xmlns:mc="http://schemas.openxmlformats.org/markup-compatibility/2006">
          <mc:Choice Requires="x14">
            <control shapeId="36919" r:id="rId10" name="Check Box 55">
              <controlPr defaultSize="0" autoFill="0" autoLine="0" autoPict="0">
                <anchor moveWithCells="1">
                  <from>
                    <xdr:col>10</xdr:col>
                    <xdr:colOff>295275</xdr:colOff>
                    <xdr:row>32</xdr:row>
                    <xdr:rowOff>28575</xdr:rowOff>
                  </from>
                  <to>
                    <xdr:col>10</xdr:col>
                    <xdr:colOff>504825</xdr:colOff>
                    <xdr:row>33</xdr:row>
                    <xdr:rowOff>9525</xdr:rowOff>
                  </to>
                </anchor>
              </controlPr>
            </control>
          </mc:Choice>
        </mc:AlternateContent>
        <mc:AlternateContent xmlns:mc="http://schemas.openxmlformats.org/markup-compatibility/2006">
          <mc:Choice Requires="x14">
            <control shapeId="36920" r:id="rId11" name="Check Box 56">
              <controlPr defaultSize="0" autoFill="0" autoLine="0" autoPict="0">
                <anchor moveWithCells="1">
                  <from>
                    <xdr:col>10</xdr:col>
                    <xdr:colOff>295275</xdr:colOff>
                    <xdr:row>35</xdr:row>
                    <xdr:rowOff>28575</xdr:rowOff>
                  </from>
                  <to>
                    <xdr:col>10</xdr:col>
                    <xdr:colOff>504825</xdr:colOff>
                    <xdr:row>36</xdr:row>
                    <xdr:rowOff>9525</xdr:rowOff>
                  </to>
                </anchor>
              </controlPr>
            </control>
          </mc:Choice>
        </mc:AlternateContent>
        <mc:AlternateContent xmlns:mc="http://schemas.openxmlformats.org/markup-compatibility/2006">
          <mc:Choice Requires="x14">
            <control shapeId="36921" r:id="rId12" name="Check Box 57">
              <controlPr defaultSize="0" autoFill="0" autoLine="0" autoPict="0">
                <anchor moveWithCells="1">
                  <from>
                    <xdr:col>10</xdr:col>
                    <xdr:colOff>295275</xdr:colOff>
                    <xdr:row>38</xdr:row>
                    <xdr:rowOff>28575</xdr:rowOff>
                  </from>
                  <to>
                    <xdr:col>10</xdr:col>
                    <xdr:colOff>504825</xdr:colOff>
                    <xdr:row>39</xdr:row>
                    <xdr:rowOff>9525</xdr:rowOff>
                  </to>
                </anchor>
              </controlPr>
            </control>
          </mc:Choice>
        </mc:AlternateContent>
        <mc:AlternateContent xmlns:mc="http://schemas.openxmlformats.org/markup-compatibility/2006">
          <mc:Choice Requires="x14">
            <control shapeId="36923" r:id="rId13" name="Check Box 59">
              <controlPr defaultSize="0" autoFill="0" autoLine="0" autoPict="0">
                <anchor moveWithCells="1">
                  <from>
                    <xdr:col>10</xdr:col>
                    <xdr:colOff>295275</xdr:colOff>
                    <xdr:row>43</xdr:row>
                    <xdr:rowOff>28575</xdr:rowOff>
                  </from>
                  <to>
                    <xdr:col>10</xdr:col>
                    <xdr:colOff>504825</xdr:colOff>
                    <xdr:row>44</xdr:row>
                    <xdr:rowOff>19050</xdr:rowOff>
                  </to>
                </anchor>
              </controlPr>
            </control>
          </mc:Choice>
        </mc:AlternateContent>
        <mc:AlternateContent xmlns:mc="http://schemas.openxmlformats.org/markup-compatibility/2006">
          <mc:Choice Requires="x14">
            <control shapeId="36924" r:id="rId14" name="Check Box 60">
              <controlPr defaultSize="0" autoFill="0" autoLine="0" autoPict="0">
                <anchor moveWithCells="1">
                  <from>
                    <xdr:col>10</xdr:col>
                    <xdr:colOff>295275</xdr:colOff>
                    <xdr:row>46</xdr:row>
                    <xdr:rowOff>28575</xdr:rowOff>
                  </from>
                  <to>
                    <xdr:col>10</xdr:col>
                    <xdr:colOff>504825</xdr:colOff>
                    <xdr:row>47</xdr:row>
                    <xdr:rowOff>9525</xdr:rowOff>
                  </to>
                </anchor>
              </controlPr>
            </control>
          </mc:Choice>
        </mc:AlternateContent>
        <mc:AlternateContent xmlns:mc="http://schemas.openxmlformats.org/markup-compatibility/2006">
          <mc:Choice Requires="x14">
            <control shapeId="36925" r:id="rId15" name="Check Box 61">
              <controlPr defaultSize="0" autoFill="0" autoLine="0" autoPict="0">
                <anchor moveWithCells="1">
                  <from>
                    <xdr:col>10</xdr:col>
                    <xdr:colOff>295275</xdr:colOff>
                    <xdr:row>49</xdr:row>
                    <xdr:rowOff>28575</xdr:rowOff>
                  </from>
                  <to>
                    <xdr:col>10</xdr:col>
                    <xdr:colOff>504825</xdr:colOff>
                    <xdr:row>50</xdr:row>
                    <xdr:rowOff>9525</xdr:rowOff>
                  </to>
                </anchor>
              </controlPr>
            </control>
          </mc:Choice>
        </mc:AlternateContent>
        <mc:AlternateContent xmlns:mc="http://schemas.openxmlformats.org/markup-compatibility/2006">
          <mc:Choice Requires="x14">
            <control shapeId="36926" r:id="rId16" name="Check Box 62">
              <controlPr defaultSize="0" autoFill="0" autoLine="0" autoPict="0">
                <anchor moveWithCells="1">
                  <from>
                    <xdr:col>10</xdr:col>
                    <xdr:colOff>295275</xdr:colOff>
                    <xdr:row>52</xdr:row>
                    <xdr:rowOff>28575</xdr:rowOff>
                  </from>
                  <to>
                    <xdr:col>10</xdr:col>
                    <xdr:colOff>504825</xdr:colOff>
                    <xdr:row>53</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H79"/>
  <sheetViews>
    <sheetView showGridLines="0" zoomScaleNormal="100" workbookViewId="0">
      <selection activeCell="I11" sqref="I11"/>
    </sheetView>
  </sheetViews>
  <sheetFormatPr defaultColWidth="9.140625" defaultRowHeight="11.25"/>
  <cols>
    <col min="1" max="1" width="11.140625" style="13" customWidth="1"/>
    <col min="2" max="2" width="29.7109375" style="13" customWidth="1"/>
    <col min="3" max="4" width="8.7109375" style="13" customWidth="1"/>
    <col min="5" max="6" width="24.7109375" style="13" customWidth="1"/>
    <col min="7" max="7" width="12.7109375" style="13" customWidth="1"/>
    <col min="8" max="16384" width="9.140625" style="13"/>
  </cols>
  <sheetData>
    <row r="1" spans="1:8" ht="11.25" customHeight="1">
      <c r="A1" s="1660" t="s">
        <v>507</v>
      </c>
      <c r="B1" s="1614"/>
      <c r="C1" s="1452" t="str">
        <f>'Component Unit Template'!G1</f>
        <v/>
      </c>
      <c r="D1" s="1452"/>
      <c r="E1" s="1452"/>
    </row>
    <row r="2" spans="1:8" ht="42" customHeight="1">
      <c r="A2" s="1660" t="s">
        <v>528</v>
      </c>
      <c r="B2" s="1614"/>
      <c r="C2" s="1452" t="str">
        <f>IF('Component Unit Template'!G2="","",'Component Unit Template'!G2)</f>
        <v/>
      </c>
      <c r="D2" s="1452"/>
      <c r="E2" s="1452"/>
    </row>
    <row r="3" spans="1:8" ht="11.25" customHeight="1">
      <c r="A3" s="1660" t="s">
        <v>586</v>
      </c>
      <c r="B3" s="1614"/>
      <c r="C3" s="1436" t="str">
        <f>IF('Component Unit Template'!G3="","",'Component Unit Template'!G3)</f>
        <v/>
      </c>
      <c r="D3" s="1436"/>
      <c r="E3" s="1436"/>
    </row>
    <row r="4" spans="1:8" ht="11.25" customHeight="1">
      <c r="A4" s="1660" t="s">
        <v>315</v>
      </c>
      <c r="B4" s="1614"/>
      <c r="C4" s="1438" t="str">
        <f>IF('Component Unit Template'!G4="","",'Component Unit Template'!G4)</f>
        <v/>
      </c>
      <c r="D4" s="1438"/>
      <c r="E4" s="1438"/>
    </row>
    <row r="5" spans="1:8" ht="11.25" customHeight="1">
      <c r="A5" s="1660" t="s">
        <v>677</v>
      </c>
      <c r="B5" s="1614"/>
      <c r="C5" s="1440" t="str">
        <f>IF('Component Unit Template'!G5="","",'Component Unit Template'!G5)</f>
        <v/>
      </c>
      <c r="D5" s="1440"/>
      <c r="E5" s="1440"/>
    </row>
    <row r="6" spans="1:8" ht="11.25" customHeight="1">
      <c r="A6" s="1660" t="s">
        <v>36</v>
      </c>
      <c r="B6" s="1614"/>
      <c r="C6" s="1449" t="str">
        <f>IF('Component Unit Template'!G6="","",'Component Unit Template'!G6)</f>
        <v/>
      </c>
      <c r="D6" s="1449"/>
      <c r="E6" s="1449"/>
    </row>
    <row r="7" spans="1:8">
      <c r="A7" s="14"/>
    </row>
    <row r="9" spans="1:8" ht="60" customHeight="1">
      <c r="A9" s="15" t="s">
        <v>501</v>
      </c>
      <c r="B9" s="15" t="s">
        <v>508</v>
      </c>
      <c r="C9" s="15" t="s">
        <v>502</v>
      </c>
      <c r="D9" s="15" t="s">
        <v>503</v>
      </c>
      <c r="E9" s="15" t="s">
        <v>504</v>
      </c>
      <c r="F9" s="15" t="s">
        <v>505</v>
      </c>
      <c r="H9" s="16"/>
    </row>
    <row r="10" spans="1:8">
      <c r="A10" s="252"/>
      <c r="B10" s="17"/>
      <c r="C10" s="1"/>
      <c r="D10" s="1"/>
      <c r="E10" s="163"/>
      <c r="F10" s="163"/>
    </row>
    <row r="11" spans="1:8">
      <c r="A11" s="252"/>
      <c r="B11" s="17"/>
      <c r="C11" s="1"/>
      <c r="D11" s="1"/>
      <c r="E11" s="163"/>
      <c r="F11" s="163"/>
    </row>
    <row r="12" spans="1:8">
      <c r="A12" s="252"/>
      <c r="B12" s="17"/>
      <c r="C12" s="1"/>
      <c r="D12" s="1"/>
      <c r="E12" s="163"/>
      <c r="F12" s="163"/>
    </row>
    <row r="13" spans="1:8">
      <c r="A13" s="252"/>
      <c r="B13" s="17"/>
      <c r="C13" s="1"/>
      <c r="D13" s="1"/>
      <c r="E13" s="163"/>
      <c r="F13" s="163"/>
    </row>
    <row r="14" spans="1:8">
      <c r="A14" s="252"/>
      <c r="B14" s="17"/>
      <c r="C14" s="1"/>
      <c r="D14" s="1"/>
      <c r="E14" s="163"/>
      <c r="F14" s="163"/>
    </row>
    <row r="15" spans="1:8">
      <c r="A15" s="252"/>
      <c r="B15" s="17"/>
      <c r="C15" s="1"/>
      <c r="D15" s="1"/>
      <c r="E15" s="163"/>
      <c r="F15" s="163"/>
    </row>
    <row r="16" spans="1:8">
      <c r="A16" s="252"/>
      <c r="B16" s="17"/>
      <c r="C16" s="1"/>
      <c r="D16" s="1"/>
      <c r="E16" s="163"/>
      <c r="F16" s="163"/>
    </row>
    <row r="17" spans="1:6">
      <c r="A17" s="252"/>
      <c r="B17" s="17"/>
      <c r="C17" s="1"/>
      <c r="D17" s="1"/>
      <c r="E17" s="163"/>
      <c r="F17" s="163"/>
    </row>
    <row r="18" spans="1:6">
      <c r="A18" s="252"/>
      <c r="B18" s="17"/>
      <c r="C18" s="1"/>
      <c r="D18" s="1"/>
      <c r="E18" s="163"/>
      <c r="F18" s="163"/>
    </row>
    <row r="19" spans="1:6">
      <c r="A19" s="252"/>
      <c r="B19" s="17"/>
      <c r="C19" s="1"/>
      <c r="D19" s="1"/>
      <c r="E19" s="163"/>
      <c r="F19" s="163"/>
    </row>
    <row r="20" spans="1:6">
      <c r="A20" s="252"/>
      <c r="B20" s="17"/>
      <c r="C20" s="1"/>
      <c r="D20" s="1"/>
      <c r="E20" s="163"/>
      <c r="F20" s="163"/>
    </row>
    <row r="21" spans="1:6">
      <c r="A21" s="252"/>
      <c r="B21" s="17"/>
      <c r="C21" s="1"/>
      <c r="D21" s="1"/>
      <c r="E21" s="163"/>
      <c r="F21" s="163"/>
    </row>
    <row r="22" spans="1:6">
      <c r="A22" s="252"/>
      <c r="B22" s="17"/>
      <c r="C22" s="1"/>
      <c r="D22" s="1"/>
      <c r="E22" s="163"/>
      <c r="F22" s="163"/>
    </row>
    <row r="23" spans="1:6">
      <c r="A23" s="252"/>
      <c r="B23" s="17"/>
      <c r="C23" s="1"/>
      <c r="D23" s="1"/>
      <c r="E23" s="163"/>
      <c r="F23" s="163"/>
    </row>
    <row r="24" spans="1:6">
      <c r="A24" s="252"/>
      <c r="B24" s="17"/>
      <c r="C24" s="1"/>
      <c r="D24" s="1"/>
      <c r="E24" s="163"/>
      <c r="F24" s="163"/>
    </row>
    <row r="25" spans="1:6">
      <c r="A25" s="252"/>
      <c r="B25" s="17"/>
      <c r="C25" s="1"/>
      <c r="D25" s="1"/>
      <c r="E25" s="163"/>
      <c r="F25" s="163"/>
    </row>
    <row r="26" spans="1:6">
      <c r="A26" s="252"/>
      <c r="B26" s="17"/>
      <c r="C26" s="1"/>
      <c r="D26" s="1"/>
      <c r="E26" s="163"/>
      <c r="F26" s="163"/>
    </row>
    <row r="27" spans="1:6">
      <c r="A27" s="252"/>
      <c r="B27" s="17"/>
      <c r="C27" s="1"/>
      <c r="D27" s="1"/>
      <c r="E27" s="163"/>
      <c r="F27" s="163"/>
    </row>
    <row r="28" spans="1:6">
      <c r="A28" s="252"/>
      <c r="B28" s="17"/>
      <c r="C28" s="1"/>
      <c r="D28" s="1"/>
      <c r="E28" s="163"/>
      <c r="F28" s="163"/>
    </row>
    <row r="29" spans="1:6">
      <c r="A29" s="252"/>
      <c r="B29" s="17"/>
      <c r="C29" s="1"/>
      <c r="D29" s="1"/>
      <c r="E29" s="163"/>
      <c r="F29" s="163"/>
    </row>
    <row r="30" spans="1:6">
      <c r="A30" s="252"/>
      <c r="B30" s="17"/>
      <c r="C30" s="1"/>
      <c r="D30" s="1"/>
      <c r="E30" s="163"/>
      <c r="F30" s="163"/>
    </row>
    <row r="31" spans="1:6">
      <c r="A31" s="252"/>
      <c r="B31" s="17"/>
      <c r="C31" s="1"/>
      <c r="D31" s="1"/>
      <c r="E31" s="163"/>
      <c r="F31" s="163"/>
    </row>
    <row r="32" spans="1:6">
      <c r="A32" s="252"/>
      <c r="B32" s="17"/>
      <c r="C32" s="1"/>
      <c r="D32" s="1"/>
      <c r="E32" s="163"/>
      <c r="F32" s="163"/>
    </row>
    <row r="33" spans="1:6">
      <c r="A33" s="252"/>
      <c r="B33" s="17"/>
      <c r="C33" s="1"/>
      <c r="D33" s="1"/>
      <c r="E33" s="163"/>
      <c r="F33" s="163"/>
    </row>
    <row r="34" spans="1:6">
      <c r="A34" s="252"/>
      <c r="B34" s="17"/>
      <c r="C34" s="1"/>
      <c r="D34" s="1"/>
      <c r="E34" s="163"/>
      <c r="F34" s="163"/>
    </row>
    <row r="35" spans="1:6">
      <c r="A35" s="252"/>
      <c r="B35" s="17"/>
      <c r="C35" s="1"/>
      <c r="D35" s="1"/>
      <c r="E35" s="163"/>
      <c r="F35" s="163"/>
    </row>
    <row r="36" spans="1:6">
      <c r="A36" s="252"/>
      <c r="B36" s="17"/>
      <c r="C36" s="1"/>
      <c r="D36" s="1"/>
      <c r="E36" s="163"/>
      <c r="F36" s="163"/>
    </row>
    <row r="37" spans="1:6">
      <c r="A37" s="252"/>
      <c r="B37" s="17"/>
      <c r="C37" s="1"/>
      <c r="D37" s="1"/>
      <c r="E37" s="163"/>
      <c r="F37" s="163"/>
    </row>
    <row r="38" spans="1:6">
      <c r="A38" s="252"/>
      <c r="B38" s="17"/>
      <c r="C38" s="1"/>
      <c r="D38" s="1"/>
      <c r="E38" s="163"/>
      <c r="F38" s="163"/>
    </row>
    <row r="39" spans="1:6">
      <c r="A39" s="252"/>
      <c r="B39" s="17"/>
      <c r="C39" s="1"/>
      <c r="D39" s="1"/>
      <c r="E39" s="163"/>
      <c r="F39" s="163"/>
    </row>
    <row r="40" spans="1:6">
      <c r="A40" s="252"/>
      <c r="B40" s="17"/>
      <c r="C40" s="1"/>
      <c r="D40" s="1"/>
      <c r="E40" s="163"/>
      <c r="F40" s="163"/>
    </row>
    <row r="41" spans="1:6">
      <c r="A41" s="252"/>
      <c r="B41" s="17"/>
      <c r="C41" s="1"/>
      <c r="D41" s="1"/>
      <c r="E41" s="163"/>
      <c r="F41" s="163"/>
    </row>
    <row r="42" spans="1:6">
      <c r="A42" s="252"/>
      <c r="B42" s="17"/>
      <c r="C42" s="1"/>
      <c r="D42" s="1"/>
      <c r="E42" s="163"/>
      <c r="F42" s="163"/>
    </row>
    <row r="43" spans="1:6">
      <c r="A43" s="252"/>
      <c r="B43" s="17"/>
      <c r="C43" s="1"/>
      <c r="D43" s="1"/>
      <c r="E43" s="163"/>
      <c r="F43" s="163"/>
    </row>
    <row r="44" spans="1:6">
      <c r="A44" s="252"/>
      <c r="B44" s="17"/>
      <c r="C44" s="1"/>
      <c r="D44" s="1"/>
      <c r="E44" s="163"/>
      <c r="F44" s="163"/>
    </row>
    <row r="45" spans="1:6">
      <c r="A45" s="252"/>
      <c r="B45" s="17"/>
      <c r="C45" s="1"/>
      <c r="D45" s="1"/>
      <c r="E45" s="163"/>
      <c r="F45" s="163"/>
    </row>
    <row r="46" spans="1:6">
      <c r="A46" s="252"/>
      <c r="B46" s="17"/>
      <c r="C46" s="1"/>
      <c r="D46" s="1"/>
      <c r="E46" s="163"/>
      <c r="F46" s="163"/>
    </row>
    <row r="47" spans="1:6">
      <c r="A47" s="252"/>
      <c r="B47" s="17"/>
      <c r="C47" s="1"/>
      <c r="D47" s="1"/>
      <c r="E47" s="163"/>
      <c r="F47" s="163"/>
    </row>
    <row r="48" spans="1:6">
      <c r="A48" s="252"/>
      <c r="B48" s="17"/>
      <c r="C48" s="1"/>
      <c r="D48" s="1"/>
      <c r="E48" s="163"/>
      <c r="F48" s="163"/>
    </row>
    <row r="49" spans="1:6">
      <c r="A49" s="252"/>
      <c r="B49" s="17"/>
      <c r="C49" s="1"/>
      <c r="D49" s="1"/>
      <c r="E49" s="163"/>
      <c r="F49" s="163"/>
    </row>
    <row r="50" spans="1:6">
      <c r="A50" s="252"/>
      <c r="B50" s="17"/>
      <c r="C50" s="1"/>
      <c r="D50" s="1"/>
      <c r="E50" s="163"/>
      <c r="F50" s="163"/>
    </row>
    <row r="51" spans="1:6">
      <c r="A51" s="252"/>
      <c r="B51" s="17"/>
      <c r="C51" s="1"/>
      <c r="D51" s="1"/>
      <c r="E51" s="163"/>
      <c r="F51" s="163"/>
    </row>
    <row r="52" spans="1:6">
      <c r="A52" s="252"/>
      <c r="B52" s="17"/>
      <c r="C52" s="1"/>
      <c r="D52" s="1"/>
      <c r="E52" s="163"/>
      <c r="F52" s="163"/>
    </row>
    <row r="53" spans="1:6">
      <c r="A53" s="252"/>
      <c r="B53" s="17"/>
      <c r="C53" s="1"/>
      <c r="D53" s="1"/>
      <c r="E53" s="163"/>
      <c r="F53" s="163"/>
    </row>
    <row r="54" spans="1:6">
      <c r="A54" s="252"/>
      <c r="B54" s="17"/>
      <c r="C54" s="1"/>
      <c r="D54" s="1"/>
      <c r="E54" s="163"/>
      <c r="F54" s="163"/>
    </row>
    <row r="55" spans="1:6">
      <c r="A55" s="252"/>
      <c r="B55" s="17"/>
      <c r="C55" s="1"/>
      <c r="D55" s="1"/>
      <c r="E55" s="163"/>
      <c r="F55" s="163"/>
    </row>
    <row r="56" spans="1:6">
      <c r="A56" s="252"/>
      <c r="B56" s="17"/>
      <c r="C56" s="1"/>
      <c r="D56" s="1"/>
      <c r="E56" s="163"/>
      <c r="F56" s="163"/>
    </row>
    <row r="57" spans="1:6">
      <c r="A57" s="252"/>
      <c r="B57" s="17"/>
      <c r="C57" s="1"/>
      <c r="D57" s="1"/>
      <c r="E57" s="163"/>
      <c r="F57" s="163"/>
    </row>
    <row r="58" spans="1:6">
      <c r="A58" s="252"/>
      <c r="B58" s="17"/>
      <c r="C58" s="1"/>
      <c r="D58" s="1"/>
      <c r="E58" s="163"/>
      <c r="F58" s="163"/>
    </row>
    <row r="59" spans="1:6">
      <c r="A59" s="252"/>
      <c r="B59" s="17"/>
      <c r="C59" s="1"/>
      <c r="D59" s="1"/>
      <c r="E59" s="163"/>
      <c r="F59" s="163"/>
    </row>
    <row r="60" spans="1:6">
      <c r="A60" s="252"/>
      <c r="B60" s="17"/>
      <c r="C60" s="1"/>
      <c r="D60" s="1"/>
      <c r="E60" s="163"/>
      <c r="F60" s="163"/>
    </row>
    <row r="61" spans="1:6">
      <c r="A61" s="252"/>
      <c r="B61" s="17"/>
      <c r="C61" s="1"/>
      <c r="D61" s="1"/>
      <c r="E61" s="163"/>
      <c r="F61" s="163"/>
    </row>
    <row r="62" spans="1:6" ht="9.9499999999999993" customHeight="1"/>
    <row r="63" spans="1:6" hidden="1">
      <c r="B63" s="13" t="s">
        <v>540</v>
      </c>
    </row>
    <row r="64" spans="1:6" hidden="1">
      <c r="B64" s="13" t="s">
        <v>1088</v>
      </c>
    </row>
    <row r="65" spans="2:2" hidden="1">
      <c r="B65" s="13" t="s">
        <v>542</v>
      </c>
    </row>
    <row r="66" spans="2:2" hidden="1">
      <c r="B66" s="13" t="s">
        <v>541</v>
      </c>
    </row>
    <row r="67" spans="2:2" hidden="1">
      <c r="B67" s="13" t="s">
        <v>543</v>
      </c>
    </row>
    <row r="68" spans="2:2" hidden="1">
      <c r="B68" s="13" t="s">
        <v>1312</v>
      </c>
    </row>
    <row r="69" spans="2:2" hidden="1">
      <c r="B69" s="13" t="s">
        <v>306</v>
      </c>
    </row>
    <row r="70" spans="2:2" hidden="1">
      <c r="B70" s="13" t="s">
        <v>307</v>
      </c>
    </row>
    <row r="71" spans="2:2" hidden="1">
      <c r="B71" s="13" t="s">
        <v>544</v>
      </c>
    </row>
    <row r="72" spans="2:2" hidden="1">
      <c r="B72" s="13" t="s">
        <v>467</v>
      </c>
    </row>
    <row r="73" spans="2:2" hidden="1">
      <c r="B73" s="13" t="s">
        <v>546</v>
      </c>
    </row>
    <row r="74" spans="2:2" hidden="1">
      <c r="B74" s="13" t="s">
        <v>547</v>
      </c>
    </row>
    <row r="75" spans="2:2" hidden="1">
      <c r="B75" s="13" t="s">
        <v>545</v>
      </c>
    </row>
    <row r="76" spans="2:2" hidden="1">
      <c r="B76" s="13" t="s">
        <v>548</v>
      </c>
    </row>
    <row r="77" spans="2:2" hidden="1">
      <c r="B77" s="13" t="s">
        <v>549</v>
      </c>
    </row>
    <row r="78" spans="2:2" hidden="1">
      <c r="B78" s="13" t="s">
        <v>1313</v>
      </c>
    </row>
    <row r="79" spans="2:2" hidden="1">
      <c r="B79" s="13" t="s">
        <v>897</v>
      </c>
    </row>
  </sheetData>
  <sheetProtection algorithmName="SHA-512" hashValue="rtf4ZRbfDHUTmJhFiNxOFUTDULuiy+sxq6VsSYL7G/3pWlbdbeCCSWdSHascnriRcF+qPfFzow8K7cD7uvJZyA==" saltValue="1c5Bb9jqUrpIaFzMygX2gg==" spinCount="100000" sheet="1" objects="1" scenarios="1"/>
  <customSheetViews>
    <customSheetView guid="{FBB78E72-3FBC-498A-91AC-D094BCE26D3C}" showGridLines="0" hiddenRows="1" topLeftCell="A31">
      <selection activeCell="G2" sqref="G2:J2"/>
      <pageMargins left="0.5" right="0.5" top="1.25" bottom="1" header="0.5" footer="0.5"/>
      <pageSetup scale="85"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topLeftCell="A31">
      <selection activeCell="G2" sqref="G2:J2"/>
      <pageMargins left="0.5" right="0.5" top="1.25" bottom="1" header="0.5" footer="0.5"/>
      <pageSetup scale="85"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topLeftCell="A31">
      <selection activeCell="G2" sqref="G2:J2"/>
      <pageMargins left="0.5" right="0.5" top="1.25" bottom="1" header="0.5" footer="0.5"/>
      <pageSetup scale="85"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GridLines="0" hiddenRows="1" topLeftCell="A3">
      <selection activeCell="A3" sqref="A3:B3"/>
      <pageMargins left="0.5" right="0.5" top="1.25" bottom="1" header="0.5" footer="0.5"/>
      <pageSetup scale="8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hiddenRows="1">
      <selection activeCell="C3" sqref="C3:E3"/>
      <pageMargins left="0.5" right="0.5" top="1.25" bottom="1" header="0.5" footer="0.5"/>
      <pageSetup scale="8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12">
    <mergeCell ref="C5:E5"/>
    <mergeCell ref="C6:E6"/>
    <mergeCell ref="C1:E1"/>
    <mergeCell ref="C2:E2"/>
    <mergeCell ref="C3:E3"/>
    <mergeCell ref="C4:E4"/>
    <mergeCell ref="A5:B5"/>
    <mergeCell ref="A6:B6"/>
    <mergeCell ref="A1:B1"/>
    <mergeCell ref="A2:B2"/>
    <mergeCell ref="A3:B3"/>
    <mergeCell ref="A4:B4"/>
  </mergeCells>
  <phoneticPr fontId="27" type="noConversion"/>
  <dataValidations count="3">
    <dataValidation allowBlank="1" showInputMessage="1" showErrorMessage="1" errorTitle="Column Letter" error="Use drop down menu to enter A through E." sqref="D9" xr:uid="{00000000-0002-0000-1200-000000000000}"/>
    <dataValidation allowBlank="1" showInputMessage="1" showErrorMessage="1" errorTitle="Column Letter" sqref="D10:D61" xr:uid="{00000000-0002-0000-1200-000001000000}"/>
    <dataValidation type="list" allowBlank="1" showInputMessage="1" showErrorMessage="1" error="Use the drop-down list to enter a tab name." sqref="B10:B61" xr:uid="{00000000-0002-0000-1200-000002000000}">
      <formula1>$B$63:$B$79</formula1>
    </dataValidation>
  </dataValidations>
  <pageMargins left="0.75" right="0.25" top="1.25" bottom="1" header="0.5" footer="0.5"/>
  <pageSetup scale="78" orientation="portrait" cellComments="asDisplayed" r:id="rId6"/>
  <headerFooter alignWithMargins="0">
    <oddHeader>&amp;C&amp;"Times New Roman,Bold"Attachment CU4
Financial Statement Template (FST)
&amp;A</oddHeader>
    <oddFooter>&amp;L&amp;"Times New Roman,Regular"&amp;F \ &amp;A&amp;RPage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274"/>
  <sheetViews>
    <sheetView showGridLines="0" tabSelected="1" zoomScaleNormal="100" zoomScaleSheetLayoutView="100" workbookViewId="0">
      <selection activeCell="G2" sqref="G2:J2"/>
    </sheetView>
  </sheetViews>
  <sheetFormatPr defaultColWidth="8.85546875" defaultRowHeight="11.25"/>
  <cols>
    <col min="1" max="1" width="2.42578125" style="2" customWidth="1"/>
    <col min="2" max="3" width="2.28515625" style="2" customWidth="1"/>
    <col min="4" max="4" width="3.5703125" style="2" customWidth="1"/>
    <col min="5" max="5" width="15.140625" style="2" customWidth="1"/>
    <col min="6" max="6" width="22.28515625" style="2" customWidth="1"/>
    <col min="7" max="7" width="8.85546875" style="2" customWidth="1"/>
    <col min="8" max="8" width="11.7109375" style="2" customWidth="1"/>
    <col min="9" max="9" width="15.7109375" style="2" customWidth="1"/>
    <col min="10" max="10" width="20.7109375" style="6" customWidth="1"/>
    <col min="11" max="11" width="18.42578125" style="3" customWidth="1"/>
    <col min="12" max="12" width="16.7109375" style="2" customWidth="1"/>
    <col min="13" max="13" width="18.42578125" style="2" customWidth="1"/>
    <col min="14" max="14" width="15.5703125" style="2" customWidth="1"/>
    <col min="15" max="15" width="11.5703125" style="2" customWidth="1"/>
    <col min="16" max="16" width="10.5703125" style="2" hidden="1" customWidth="1"/>
    <col min="17" max="17" width="9.7109375" style="2" customWidth="1"/>
    <col min="18" max="18" width="9.85546875" style="2" bestFit="1" customWidth="1"/>
    <col min="19" max="19" width="19.140625" style="2" bestFit="1" customWidth="1"/>
    <col min="20" max="26" width="8.85546875" style="2" customWidth="1"/>
    <col min="27" max="27" width="50" style="2" hidden="1" customWidth="1"/>
    <col min="28" max="28" width="10.42578125" style="143" hidden="1" customWidth="1"/>
    <col min="29" max="30" width="8.85546875" style="2" customWidth="1"/>
    <col min="31" max="16384" width="8.85546875" style="2"/>
  </cols>
  <sheetData>
    <row r="1" spans="1:29" ht="12.75">
      <c r="A1" s="47" t="s">
        <v>507</v>
      </c>
      <c r="G1" s="1153" t="str">
        <f>IF(ISNA(VLOOKUP(G2,$AA$11:$AB$35,2,FALSE)),"",(VLOOKUP(G2,$AA$11:$AB$35,2,FALSE)))</f>
        <v/>
      </c>
      <c r="H1" s="1154"/>
      <c r="I1" s="1154"/>
      <c r="J1" s="1155"/>
    </row>
    <row r="2" spans="1:29" ht="27" customHeight="1">
      <c r="A2" s="47" t="s">
        <v>528</v>
      </c>
      <c r="E2" s="4"/>
      <c r="G2" s="1156"/>
      <c r="H2" s="1157"/>
      <c r="I2" s="1157"/>
      <c r="J2" s="1158"/>
      <c r="K2" s="5"/>
    </row>
    <row r="3" spans="1:29" ht="12.75">
      <c r="A3" s="47" t="s">
        <v>586</v>
      </c>
      <c r="E3" s="4"/>
      <c r="G3" s="1156"/>
      <c r="H3" s="1159"/>
      <c r="I3" s="1159"/>
      <c r="J3" s="1160"/>
      <c r="K3" s="5"/>
    </row>
    <row r="4" spans="1:29" ht="12.75">
      <c r="A4" s="47" t="s">
        <v>315</v>
      </c>
      <c r="E4" s="4"/>
      <c r="G4" s="1161"/>
      <c r="H4" s="1162"/>
      <c r="I4" s="1162"/>
      <c r="J4" s="1163"/>
      <c r="K4" s="5"/>
    </row>
    <row r="5" spans="1:29" ht="12">
      <c r="A5" s="47" t="s">
        <v>677</v>
      </c>
      <c r="E5" s="4"/>
      <c r="G5" s="1164"/>
      <c r="H5" s="1165"/>
      <c r="I5" s="1165"/>
      <c r="J5" s="1166"/>
      <c r="K5" s="5"/>
    </row>
    <row r="6" spans="1:29" ht="12.75">
      <c r="A6" s="47" t="s">
        <v>36</v>
      </c>
      <c r="E6" s="4"/>
      <c r="G6" s="1135"/>
      <c r="H6" s="1136"/>
      <c r="I6" s="1136"/>
      <c r="J6" s="1137"/>
      <c r="K6" s="5"/>
    </row>
    <row r="7" spans="1:29" ht="8.25" customHeight="1">
      <c r="E7" s="4"/>
      <c r="G7" s="4"/>
      <c r="K7" s="5"/>
    </row>
    <row r="8" spans="1:29" ht="12" hidden="1" customHeight="1">
      <c r="E8" s="4"/>
      <c r="G8" s="4"/>
      <c r="K8" s="5"/>
    </row>
    <row r="9" spans="1:29" ht="12" customHeight="1">
      <c r="A9" s="118" t="s">
        <v>1371</v>
      </c>
      <c r="E9" s="4"/>
      <c r="G9" s="4"/>
      <c r="K9" s="5"/>
    </row>
    <row r="10" spans="1:29" ht="42.75" customHeight="1">
      <c r="A10" s="1167" t="str">
        <f>IF(ISNA(VLOOKUP($G$2,'Prior Year Amounts'!$E$348:$Q$381,5,FALSE)),"",(VLOOKUP($G$2,'Prior Year Amounts'!$E$348:$Q$381,5,FALSE)))</f>
        <v/>
      </c>
      <c r="B10" s="1168"/>
      <c r="C10" s="1168"/>
      <c r="D10" s="1168"/>
      <c r="E10" s="1168"/>
      <c r="F10" s="1168"/>
      <c r="G10" s="1168"/>
      <c r="H10" s="1168"/>
      <c r="I10" s="1168"/>
      <c r="J10" s="1169"/>
      <c r="K10" s="5"/>
    </row>
    <row r="11" spans="1:29" ht="15" customHeight="1">
      <c r="A11" s="1170"/>
      <c r="B11" s="1171"/>
      <c r="C11" s="1171"/>
      <c r="D11" s="1171"/>
      <c r="E11" s="1171"/>
      <c r="F11" s="1171"/>
      <c r="G11" s="1171"/>
      <c r="H11" s="1171"/>
      <c r="I11" s="1171"/>
      <c r="J11" s="1172"/>
      <c r="K11" s="5"/>
      <c r="AA11" s="7" t="s">
        <v>54</v>
      </c>
      <c r="AB11" s="42">
        <v>1001</v>
      </c>
    </row>
    <row r="12" spans="1:29" ht="12" customHeight="1">
      <c r="A12" s="1170"/>
      <c r="B12" s="1171"/>
      <c r="C12" s="1171"/>
      <c r="D12" s="1171"/>
      <c r="E12" s="1171"/>
      <c r="F12" s="1171"/>
      <c r="G12" s="1171"/>
      <c r="H12" s="1171"/>
      <c r="I12" s="1171"/>
      <c r="J12" s="1172"/>
      <c r="K12" s="5"/>
      <c r="AA12" s="7" t="s">
        <v>489</v>
      </c>
      <c r="AB12" s="42">
        <v>1007</v>
      </c>
    </row>
    <row r="13" spans="1:29" ht="12" customHeight="1">
      <c r="A13" s="1170"/>
      <c r="B13" s="1171"/>
      <c r="C13" s="1171"/>
      <c r="D13" s="1171"/>
      <c r="E13" s="1171"/>
      <c r="F13" s="1171"/>
      <c r="G13" s="1171"/>
      <c r="H13" s="1171"/>
      <c r="I13" s="1171"/>
      <c r="J13" s="1172"/>
      <c r="K13" s="5"/>
      <c r="AA13" s="7" t="s">
        <v>53</v>
      </c>
      <c r="AB13" s="42">
        <v>1018</v>
      </c>
    </row>
    <row r="14" spans="1:29" ht="12.75" customHeight="1">
      <c r="A14" s="1170"/>
      <c r="B14" s="1171"/>
      <c r="C14" s="1171"/>
      <c r="D14" s="1171"/>
      <c r="E14" s="1171"/>
      <c r="F14" s="1171"/>
      <c r="G14" s="1171"/>
      <c r="H14" s="1171"/>
      <c r="I14" s="1171"/>
      <c r="J14" s="1172"/>
      <c r="K14" s="5"/>
      <c r="AA14" s="7" t="s">
        <v>55</v>
      </c>
      <c r="AB14" s="42">
        <v>1010</v>
      </c>
      <c r="AC14" s="414"/>
    </row>
    <row r="15" spans="1:29" ht="12" customHeight="1">
      <c r="A15" s="1170"/>
      <c r="B15" s="1171"/>
      <c r="C15" s="1171"/>
      <c r="D15" s="1171"/>
      <c r="E15" s="1171"/>
      <c r="F15" s="1171"/>
      <c r="G15" s="1171"/>
      <c r="H15" s="1171"/>
      <c r="I15" s="1171"/>
      <c r="J15" s="1172"/>
      <c r="K15" s="5"/>
      <c r="AA15" s="7" t="s">
        <v>1367</v>
      </c>
      <c r="AB15" s="42">
        <v>1012</v>
      </c>
      <c r="AC15" s="414"/>
    </row>
    <row r="16" spans="1:29" ht="12" customHeight="1">
      <c r="A16" s="1170"/>
      <c r="B16" s="1171"/>
      <c r="C16" s="1171"/>
      <c r="D16" s="1171"/>
      <c r="E16" s="1171"/>
      <c r="F16" s="1171"/>
      <c r="G16" s="1171"/>
      <c r="H16" s="1171"/>
      <c r="I16" s="1171"/>
      <c r="J16" s="1172"/>
      <c r="K16" s="5"/>
      <c r="AA16" s="7" t="s">
        <v>1092</v>
      </c>
      <c r="AB16" s="42">
        <v>851</v>
      </c>
      <c r="AC16" s="414"/>
    </row>
    <row r="17" spans="1:30" ht="12" customHeight="1">
      <c r="A17" s="1170"/>
      <c r="B17" s="1171"/>
      <c r="C17" s="1171"/>
      <c r="D17" s="1171"/>
      <c r="E17" s="1171"/>
      <c r="F17" s="1171"/>
      <c r="G17" s="1171"/>
      <c r="H17" s="1171"/>
      <c r="I17" s="1171"/>
      <c r="J17" s="1172"/>
      <c r="K17" s="5"/>
      <c r="AA17" s="7" t="s">
        <v>983</v>
      </c>
      <c r="AB17" s="42">
        <v>1004</v>
      </c>
      <c r="AC17" s="414"/>
    </row>
    <row r="18" spans="1:30" ht="12" customHeight="1">
      <c r="A18" s="1170"/>
      <c r="B18" s="1171"/>
      <c r="C18" s="1171"/>
      <c r="D18" s="1171"/>
      <c r="E18" s="1171"/>
      <c r="F18" s="1171"/>
      <c r="G18" s="1171"/>
      <c r="H18" s="1171"/>
      <c r="I18" s="1171"/>
      <c r="J18" s="1172"/>
      <c r="K18" s="5"/>
      <c r="AA18" s="7" t="s">
        <v>1359</v>
      </c>
      <c r="AB18" s="42">
        <v>941</v>
      </c>
      <c r="AC18" s="414"/>
    </row>
    <row r="19" spans="1:30" ht="12.75" customHeight="1">
      <c r="A19" s="1170"/>
      <c r="B19" s="1171"/>
      <c r="C19" s="1171"/>
      <c r="D19" s="1171"/>
      <c r="E19" s="1171"/>
      <c r="F19" s="1171"/>
      <c r="G19" s="1171"/>
      <c r="H19" s="1171"/>
      <c r="I19" s="1171"/>
      <c r="J19" s="1172"/>
      <c r="K19" s="5"/>
      <c r="AA19" s="7" t="s">
        <v>56</v>
      </c>
      <c r="AB19" s="42">
        <v>1020</v>
      </c>
      <c r="AC19" s="414"/>
    </row>
    <row r="20" spans="1:30" ht="12" customHeight="1">
      <c r="A20" s="1170"/>
      <c r="B20" s="1171"/>
      <c r="C20" s="1171"/>
      <c r="D20" s="1171"/>
      <c r="E20" s="1171"/>
      <c r="F20" s="1171"/>
      <c r="G20" s="1171"/>
      <c r="H20" s="1171"/>
      <c r="I20" s="1171"/>
      <c r="J20" s="1172"/>
      <c r="K20" s="5"/>
      <c r="AA20" s="7" t="s">
        <v>490</v>
      </c>
      <c r="AB20" s="42">
        <v>310</v>
      </c>
      <c r="AC20" s="414"/>
      <c r="AD20" s="415"/>
    </row>
    <row r="21" spans="1:30" ht="12" customHeight="1">
      <c r="A21" s="1170"/>
      <c r="B21" s="1171"/>
      <c r="C21" s="1171"/>
      <c r="D21" s="1171"/>
      <c r="E21" s="1171"/>
      <c r="F21" s="1171"/>
      <c r="G21" s="1171"/>
      <c r="H21" s="1171"/>
      <c r="I21" s="1171"/>
      <c r="J21" s="1172"/>
      <c r="K21" s="5"/>
      <c r="AA21" s="7" t="s">
        <v>616</v>
      </c>
      <c r="AB21" s="42">
        <v>852</v>
      </c>
      <c r="AC21" s="414"/>
      <c r="AD21" s="415"/>
    </row>
    <row r="22" spans="1:30" ht="12.75" customHeight="1">
      <c r="A22" s="1170"/>
      <c r="B22" s="1171"/>
      <c r="C22" s="1171"/>
      <c r="D22" s="1171"/>
      <c r="E22" s="1171"/>
      <c r="F22" s="1171"/>
      <c r="G22" s="1171"/>
      <c r="H22" s="1171"/>
      <c r="I22" s="1171"/>
      <c r="J22" s="1172"/>
      <c r="K22" s="5"/>
      <c r="AA22" s="7" t="s">
        <v>751</v>
      </c>
      <c r="AB22" s="42">
        <v>1024</v>
      </c>
      <c r="AC22" s="414"/>
      <c r="AD22" s="415"/>
    </row>
    <row r="23" spans="1:30" ht="12" customHeight="1">
      <c r="A23" s="1170"/>
      <c r="B23" s="1171"/>
      <c r="C23" s="1171"/>
      <c r="D23" s="1171"/>
      <c r="E23" s="1171"/>
      <c r="F23" s="1171"/>
      <c r="G23" s="1171"/>
      <c r="H23" s="1171"/>
      <c r="I23" s="1171"/>
      <c r="J23" s="1172"/>
      <c r="K23" s="5"/>
      <c r="AA23" s="7" t="s">
        <v>700</v>
      </c>
      <c r="AB23" s="42">
        <v>1013</v>
      </c>
      <c r="AC23" s="414"/>
      <c r="AD23" s="415"/>
    </row>
    <row r="24" spans="1:30" ht="12.75" customHeight="1">
      <c r="A24" s="1170"/>
      <c r="B24" s="1171"/>
      <c r="C24" s="1171"/>
      <c r="D24" s="1171"/>
      <c r="E24" s="1171"/>
      <c r="F24" s="1171"/>
      <c r="G24" s="1171"/>
      <c r="H24" s="1171"/>
      <c r="I24" s="1171"/>
      <c r="J24" s="1172"/>
      <c r="K24" s="5"/>
      <c r="AA24" s="7" t="s">
        <v>1364</v>
      </c>
      <c r="AB24" s="42">
        <v>309</v>
      </c>
      <c r="AC24" s="414"/>
      <c r="AD24" s="415"/>
    </row>
    <row r="25" spans="1:30" ht="12" customHeight="1">
      <c r="A25" s="1170"/>
      <c r="B25" s="1171"/>
      <c r="C25" s="1171"/>
      <c r="D25" s="1171"/>
      <c r="E25" s="1171"/>
      <c r="F25" s="1171"/>
      <c r="G25" s="1171"/>
      <c r="H25" s="1171"/>
      <c r="I25" s="1171"/>
      <c r="J25" s="1172"/>
      <c r="K25" s="5"/>
      <c r="AA25" s="7" t="s">
        <v>487</v>
      </c>
      <c r="AB25" s="42">
        <v>1006</v>
      </c>
      <c r="AC25" s="414"/>
      <c r="AD25" s="415"/>
    </row>
    <row r="26" spans="1:30" ht="12" customHeight="1">
      <c r="A26" s="1170"/>
      <c r="B26" s="1171"/>
      <c r="C26" s="1171"/>
      <c r="D26" s="1171"/>
      <c r="E26" s="1171"/>
      <c r="F26" s="1171"/>
      <c r="G26" s="1171"/>
      <c r="H26" s="1171"/>
      <c r="I26" s="1171"/>
      <c r="J26" s="1172"/>
      <c r="K26" s="5"/>
      <c r="AA26" s="7" t="s">
        <v>1368</v>
      </c>
      <c r="AB26" s="42">
        <v>1022</v>
      </c>
      <c r="AC26" s="414"/>
      <c r="AD26" s="415"/>
    </row>
    <row r="27" spans="1:30" ht="12" customHeight="1">
      <c r="A27" s="1170"/>
      <c r="B27" s="1171"/>
      <c r="C27" s="1171"/>
      <c r="D27" s="1171"/>
      <c r="E27" s="1171"/>
      <c r="F27" s="1171"/>
      <c r="G27" s="1171"/>
      <c r="H27" s="1171"/>
      <c r="I27" s="1171"/>
      <c r="J27" s="1172"/>
      <c r="K27" s="5"/>
      <c r="AA27" s="7" t="s">
        <v>278</v>
      </c>
      <c r="AB27" s="42">
        <v>1003</v>
      </c>
      <c r="AC27" s="414"/>
      <c r="AD27" s="415"/>
    </row>
    <row r="28" spans="1:30" ht="13.5" customHeight="1">
      <c r="A28" s="1170"/>
      <c r="B28" s="1171"/>
      <c r="C28" s="1171"/>
      <c r="D28" s="1171"/>
      <c r="E28" s="1171"/>
      <c r="F28" s="1171"/>
      <c r="G28" s="1171"/>
      <c r="H28" s="1171"/>
      <c r="I28" s="1171"/>
      <c r="J28" s="1172"/>
      <c r="K28" s="5"/>
      <c r="AA28" s="7" t="s">
        <v>1370</v>
      </c>
      <c r="AB28" s="42">
        <v>522</v>
      </c>
      <c r="AC28" s="414"/>
      <c r="AD28" s="415"/>
    </row>
    <row r="29" spans="1:30" ht="21" customHeight="1">
      <c r="A29" s="1170"/>
      <c r="B29" s="1171"/>
      <c r="C29" s="1171"/>
      <c r="D29" s="1171"/>
      <c r="E29" s="1171"/>
      <c r="F29" s="1171"/>
      <c r="G29" s="1171"/>
      <c r="H29" s="1171"/>
      <c r="I29" s="1171"/>
      <c r="J29" s="1172"/>
      <c r="K29" s="5"/>
      <c r="AA29" s="7" t="s">
        <v>945</v>
      </c>
      <c r="AB29" s="42">
        <v>407</v>
      </c>
      <c r="AC29" s="414"/>
      <c r="AD29" s="415"/>
    </row>
    <row r="30" spans="1:30" ht="15.75" customHeight="1">
      <c r="A30" s="1170"/>
      <c r="B30" s="1171"/>
      <c r="C30" s="1171"/>
      <c r="D30" s="1171"/>
      <c r="E30" s="1171"/>
      <c r="F30" s="1171"/>
      <c r="G30" s="1171"/>
      <c r="H30" s="1171"/>
      <c r="I30" s="1171"/>
      <c r="J30" s="1172"/>
      <c r="K30" s="5"/>
      <c r="AA30" s="7" t="s">
        <v>702</v>
      </c>
      <c r="AB30" s="42">
        <v>1015</v>
      </c>
      <c r="AC30" s="414"/>
      <c r="AD30" s="415"/>
    </row>
    <row r="31" spans="1:30" ht="16.5" customHeight="1">
      <c r="A31" s="1170"/>
      <c r="B31" s="1171"/>
      <c r="C31" s="1171"/>
      <c r="D31" s="1171"/>
      <c r="E31" s="1171"/>
      <c r="F31" s="1171"/>
      <c r="G31" s="1171"/>
      <c r="H31" s="1171"/>
      <c r="I31" s="1171"/>
      <c r="J31" s="1172"/>
      <c r="K31" s="5"/>
      <c r="AA31" s="7" t="s">
        <v>57</v>
      </c>
      <c r="AB31" s="42">
        <v>1016</v>
      </c>
      <c r="AC31" s="414"/>
      <c r="AD31" s="415"/>
    </row>
    <row r="32" spans="1:30" ht="81.75" customHeight="1">
      <c r="A32" s="1173"/>
      <c r="B32" s="1174"/>
      <c r="C32" s="1174"/>
      <c r="D32" s="1174"/>
      <c r="E32" s="1174"/>
      <c r="F32" s="1174"/>
      <c r="G32" s="1174"/>
      <c r="H32" s="1174"/>
      <c r="I32" s="1174"/>
      <c r="J32" s="1175"/>
      <c r="K32" s="5"/>
      <c r="AA32" s="7" t="s">
        <v>656</v>
      </c>
      <c r="AB32" s="42">
        <v>1017</v>
      </c>
      <c r="AC32" s="414"/>
      <c r="AD32" s="415"/>
    </row>
    <row r="33" spans="1:30" ht="12.75" customHeight="1">
      <c r="A33" s="791" t="s">
        <v>1331</v>
      </c>
      <c r="E33" s="4"/>
      <c r="G33" s="4"/>
      <c r="K33" s="5"/>
      <c r="AA33" s="7" t="s">
        <v>35</v>
      </c>
      <c r="AB33" s="42">
        <v>1002</v>
      </c>
      <c r="AC33" s="414"/>
      <c r="AD33" s="415"/>
    </row>
    <row r="34" spans="1:30" ht="15.75" customHeight="1">
      <c r="A34" s="46" t="s">
        <v>729</v>
      </c>
      <c r="O34" s="1138" t="s">
        <v>937</v>
      </c>
      <c r="P34" s="400"/>
      <c r="AA34" s="7" t="s">
        <v>1369</v>
      </c>
      <c r="AB34" s="42">
        <v>1025</v>
      </c>
      <c r="AC34" s="416"/>
      <c r="AD34" s="415"/>
    </row>
    <row r="35" spans="1:30" ht="15.75" customHeight="1">
      <c r="A35" s="46" t="s">
        <v>1692</v>
      </c>
      <c r="J35" s="2"/>
      <c r="K35" s="20"/>
      <c r="O35" s="1139"/>
      <c r="P35" s="417"/>
      <c r="AA35" s="7" t="s">
        <v>491</v>
      </c>
      <c r="AB35" s="42">
        <v>320</v>
      </c>
      <c r="AC35" s="416"/>
      <c r="AD35" s="415"/>
    </row>
    <row r="36" spans="1:30" ht="11.25" customHeight="1">
      <c r="J36" s="42" t="s">
        <v>468</v>
      </c>
      <c r="K36" s="43"/>
      <c r="O36" s="1139"/>
      <c r="P36" s="418" t="s">
        <v>749</v>
      </c>
      <c r="AC36" s="416"/>
      <c r="AD36" s="415"/>
    </row>
    <row r="37" spans="1:30" ht="12.75" customHeight="1" thickBot="1">
      <c r="A37" s="355"/>
      <c r="B37" s="116"/>
      <c r="C37" s="116"/>
      <c r="D37" s="116"/>
      <c r="E37" s="116"/>
      <c r="F37" s="116"/>
      <c r="G37" s="116"/>
      <c r="H37" s="116"/>
      <c r="I37" s="355" t="s">
        <v>274</v>
      </c>
      <c r="J37" s="401" t="s">
        <v>615</v>
      </c>
      <c r="K37" s="44" t="s">
        <v>205</v>
      </c>
      <c r="L37" s="44" t="s">
        <v>38</v>
      </c>
      <c r="M37" s="44" t="s">
        <v>605</v>
      </c>
      <c r="N37" s="44" t="s">
        <v>606</v>
      </c>
      <c r="O37" s="1140"/>
      <c r="P37" s="419" t="s">
        <v>936</v>
      </c>
    </row>
    <row r="38" spans="1:30" ht="12" customHeight="1">
      <c r="A38" s="47" t="s">
        <v>743</v>
      </c>
      <c r="B38" s="48"/>
      <c r="C38" s="48"/>
      <c r="D38" s="48"/>
      <c r="E38" s="48"/>
    </row>
    <row r="39" spans="1:30" ht="12" customHeight="1">
      <c r="A39" s="47" t="s">
        <v>237</v>
      </c>
      <c r="B39" s="48"/>
      <c r="C39" s="48"/>
      <c r="D39" s="48"/>
      <c r="E39" s="48"/>
    </row>
    <row r="40" spans="1:30" ht="12.75" customHeight="1">
      <c r="A40" s="48" t="s">
        <v>1036</v>
      </c>
      <c r="B40" s="48"/>
      <c r="C40" s="48"/>
      <c r="D40" s="48"/>
      <c r="E40" s="48"/>
      <c r="J40" s="56" t="s">
        <v>308</v>
      </c>
      <c r="K40" s="10"/>
      <c r="L40" s="3" t="str">
        <f>IF(ISNA(HLOOKUP($G$2,'Prior Year Amounts'!$K$32:$GH$253,3,FALSE)),"",(HLOOKUP($G$2,'Prior Year Amounts'!$K$32:$GH$253,3,FALSE)))</f>
        <v/>
      </c>
      <c r="M40" s="3" t="str">
        <f>IF(ISERR(K40-L40),"",(K40-L40))</f>
        <v/>
      </c>
      <c r="N40" s="119" t="str">
        <f>IF(ISERR(IF(M40=0,0,IF((AND(L40=0,K40&gt;0)),1,IF((AND(L40=0,K40&lt;0)),-1,M40/ABS(L40))))),"",(IF(M40=0,0,IF((AND(L40=0,K40&gt;0)),1,IF((AND(L40=0,K40&lt;0)),-1,M40/ABS(L40))))))</f>
        <v/>
      </c>
      <c r="O40" s="119" t="str">
        <f>IF(L40="","",IF(OR((ABS(M40)&gt;19800000),AND(ABS(M40)&gt;9900000,ABS(N40)&gt;0.1)),"YES","-"))</f>
        <v/>
      </c>
      <c r="P40" s="235"/>
    </row>
    <row r="41" spans="1:30" ht="12">
      <c r="A41" s="48" t="s">
        <v>535</v>
      </c>
      <c r="B41" s="48"/>
      <c r="C41" s="48"/>
      <c r="D41" s="48"/>
      <c r="E41" s="48"/>
      <c r="G41" s="2" t="s">
        <v>354</v>
      </c>
      <c r="J41" s="56" t="s">
        <v>309</v>
      </c>
      <c r="K41" s="10"/>
      <c r="L41" s="3" t="str">
        <f>IF(ISNA(HLOOKUP($G$2,'Prior Year Amounts'!$K$32:$GH$253,4,FALSE)),"",(HLOOKUP($G$2,'Prior Year Amounts'!$K$32:$GH$253,4,FALSE)))</f>
        <v/>
      </c>
      <c r="M41" s="3" t="str">
        <f>IF(ISERR(K41-L41),"",(K41-L41))</f>
        <v/>
      </c>
      <c r="N41" s="119" t="str">
        <f>IF(ISERR(IF(M41=0,0,IF((AND(L41=0,K41&gt;0)),1,IF((AND(L41=0,K41&lt;0)),-1,M41/ABS(L41))))),"",(IF(M41=0,0,IF((AND(L41=0,K41&gt;0)),1,IF((AND(L41=0,K41&lt;0)),-1,M41/ABS(L41))))))</f>
        <v/>
      </c>
      <c r="O41" s="119" t="str">
        <f t="shared" ref="O41:O47" si="0">IF(L41="","",IF(OR((ABS(M41)&gt;19800000),AND(ABS(M41)&gt;9900000,ABS(N41)&gt;0.1)),"YES","-"))</f>
        <v/>
      </c>
      <c r="P41" s="235"/>
      <c r="R41" s="3"/>
    </row>
    <row r="42" spans="1:30" ht="12">
      <c r="A42" s="48" t="s">
        <v>539</v>
      </c>
      <c r="B42" s="48"/>
      <c r="C42" s="48"/>
      <c r="D42" s="48"/>
      <c r="E42" s="48"/>
      <c r="J42" s="55"/>
      <c r="K42" s="10"/>
      <c r="L42" s="3" t="str">
        <f>IF(ISNA(HLOOKUP($G$2,'Prior Year Amounts'!$K$32:$GH$253,5,FALSE)),"",(HLOOKUP($G$2,'Prior Year Amounts'!$K$32:$GH$253,5,FALSE)))</f>
        <v/>
      </c>
      <c r="M42" s="3" t="str">
        <f t="shared" ref="M42:M47" si="1">IF(ISERR(K42-L42),"",(K42-L42))</f>
        <v/>
      </c>
      <c r="N42" s="119" t="str">
        <f t="shared" ref="N42:N48" si="2">IF(ISERR(IF(M42=0,0,IF((AND(L42=0,K42&gt;0)),1,IF((AND(L42=0,K42&lt;0)),-1,M42/ABS(L42))))),"",(IF(M42=0,0,IF((AND(L42=0,K42&gt;0)),1,IF((AND(L42=0,K42&lt;0)),-1,M42/ABS(L42))))))</f>
        <v/>
      </c>
      <c r="O42" s="119" t="str">
        <f t="shared" si="0"/>
        <v/>
      </c>
      <c r="P42" s="235"/>
    </row>
    <row r="43" spans="1:30" ht="12">
      <c r="A43" s="48" t="s">
        <v>681</v>
      </c>
      <c r="B43" s="48"/>
      <c r="C43" s="48"/>
      <c r="D43" s="48"/>
      <c r="E43" s="48"/>
      <c r="J43" s="56" t="s">
        <v>446</v>
      </c>
      <c r="K43" s="10"/>
      <c r="L43" s="3" t="str">
        <f>IF(ISNA(HLOOKUP($G$2,'Prior Year Amounts'!$K$32:$GH$253,6,FALSE)),"",(HLOOKUP($G$2,'Prior Year Amounts'!$K$32:$GH$253,6,FALSE)))</f>
        <v/>
      </c>
      <c r="M43" s="3" t="str">
        <f t="shared" si="1"/>
        <v/>
      </c>
      <c r="N43" s="119" t="str">
        <f t="shared" si="2"/>
        <v/>
      </c>
      <c r="O43" s="119" t="str">
        <f t="shared" si="0"/>
        <v/>
      </c>
      <c r="P43" s="235"/>
      <c r="AA43" s="7"/>
      <c r="AB43" s="42"/>
    </row>
    <row r="44" spans="1:30" s="739" customFormat="1" ht="12" hidden="1">
      <c r="A44" s="422" t="s">
        <v>682</v>
      </c>
      <c r="B44" s="422"/>
      <c r="C44" s="422"/>
      <c r="D44" s="422"/>
      <c r="E44" s="422"/>
      <c r="J44" s="806" t="s">
        <v>445</v>
      </c>
      <c r="K44" s="752"/>
      <c r="L44" s="3" t="str">
        <f>IF(ISNA(HLOOKUP($G$2,'Prior Year Amounts'!$K$32:$GH$253,3,FALSE)),"",(HLOOKUP($G$2,'Prior Year Amounts'!$K$32:$GH$253,3,FALSE)))</f>
        <v/>
      </c>
      <c r="M44" s="753" t="str">
        <f t="shared" si="1"/>
        <v/>
      </c>
      <c r="N44" s="754" t="str">
        <f t="shared" si="2"/>
        <v/>
      </c>
      <c r="O44" s="119" t="str">
        <f t="shared" si="0"/>
        <v/>
      </c>
      <c r="P44" s="235"/>
      <c r="AA44" s="755"/>
      <c r="AB44" s="756"/>
    </row>
    <row r="45" spans="1:30" ht="12" hidden="1">
      <c r="A45" s="422" t="s">
        <v>683</v>
      </c>
      <c r="B45" s="422"/>
      <c r="C45" s="48"/>
      <c r="D45" s="48"/>
      <c r="E45" s="48"/>
      <c r="J45" s="56" t="s">
        <v>1035</v>
      </c>
      <c r="K45" s="10"/>
      <c r="L45" s="3" t="str">
        <f>IF(ISNA(HLOOKUP($G$2,'Prior Year Amounts'!$K$32:$GH$253,3,FALSE)),"",(HLOOKUP($G$2,'Prior Year Amounts'!$K$32:$GH$253,3,FALSE)))</f>
        <v/>
      </c>
      <c r="M45" s="3" t="str">
        <f t="shared" si="1"/>
        <v/>
      </c>
      <c r="N45" s="119" t="str">
        <f t="shared" si="2"/>
        <v/>
      </c>
      <c r="O45" s="119" t="str">
        <f t="shared" si="0"/>
        <v/>
      </c>
      <c r="P45" s="235"/>
    </row>
    <row r="46" spans="1:30" ht="12">
      <c r="A46" s="48" t="s">
        <v>881</v>
      </c>
      <c r="B46" s="48"/>
      <c r="C46" s="48"/>
      <c r="D46" s="48"/>
      <c r="E46" s="48"/>
      <c r="J46" s="56" t="s">
        <v>276</v>
      </c>
      <c r="K46" s="10"/>
      <c r="L46" s="3" t="str">
        <f>IF(ISNA(HLOOKUP($G$2,'Prior Year Amounts'!$K$32:$GH$253,9,FALSE)),"",(HLOOKUP($G$2,'Prior Year Amounts'!$K$32:$GH$253,9,FALSE)))</f>
        <v/>
      </c>
      <c r="M46" s="3" t="str">
        <f t="shared" si="1"/>
        <v/>
      </c>
      <c r="N46" s="119" t="str">
        <f t="shared" si="2"/>
        <v/>
      </c>
      <c r="O46" s="119" t="str">
        <f t="shared" si="0"/>
        <v/>
      </c>
      <c r="P46" s="235"/>
    </row>
    <row r="47" spans="1:30" ht="12">
      <c r="A47" s="48" t="s">
        <v>882</v>
      </c>
      <c r="B47" s="48"/>
      <c r="C47" s="48"/>
      <c r="D47" s="48"/>
      <c r="E47" s="48"/>
      <c r="J47" s="56" t="s">
        <v>1686</v>
      </c>
      <c r="K47" s="45"/>
      <c r="L47" s="3" t="str">
        <f>IF(ISNA(HLOOKUP($G$2,'Prior Year Amounts'!$K$32:$GH$253,10,FALSE)),"",(HLOOKUP($G$2,'Prior Year Amounts'!$K$32:$GH$253,10,FALSE)))</f>
        <v/>
      </c>
      <c r="M47" s="3" t="str">
        <f t="shared" si="1"/>
        <v/>
      </c>
      <c r="N47" s="119" t="str">
        <f t="shared" si="2"/>
        <v/>
      </c>
      <c r="O47" s="119" t="str">
        <f t="shared" si="0"/>
        <v/>
      </c>
      <c r="P47" s="235"/>
      <c r="AA47" s="7"/>
      <c r="AB47" s="42"/>
    </row>
    <row r="48" spans="1:30" ht="12">
      <c r="A48" s="48"/>
      <c r="B48" s="49" t="s">
        <v>1601</v>
      </c>
      <c r="C48" s="48"/>
      <c r="D48" s="48"/>
      <c r="E48" s="48"/>
      <c r="J48" s="56" t="s">
        <v>310</v>
      </c>
      <c r="K48" s="8">
        <f>SUM(K40:K47)</f>
        <v>0</v>
      </c>
      <c r="L48" s="8" t="str">
        <f>IF($G$2="","",(SUM(L40:L43)+L46+L47))</f>
        <v/>
      </c>
      <c r="M48" s="8" t="str">
        <f>IF($G$2="","",(SUM(M40:M43)+M46+M47))</f>
        <v/>
      </c>
      <c r="N48" s="139" t="str">
        <f t="shared" si="2"/>
        <v/>
      </c>
      <c r="O48" s="119"/>
    </row>
    <row r="49" spans="1:16" ht="12">
      <c r="A49" s="48"/>
      <c r="B49" s="48"/>
      <c r="C49" s="48"/>
      <c r="D49" s="48"/>
      <c r="E49" s="48"/>
      <c r="J49" s="55"/>
      <c r="L49" s="3"/>
      <c r="M49" s="3"/>
      <c r="N49" s="119"/>
      <c r="O49" s="119" t="str">
        <f t="shared" ref="O49:O55" si="3">IF(L49="","",IF(OR((ABS(M49)&gt;19800000),AND(ABS(M49)&gt;9900000,ABS(N49)&gt;0.1)),"YES","-"))</f>
        <v/>
      </c>
    </row>
    <row r="50" spans="1:16" ht="12">
      <c r="A50" s="49"/>
      <c r="B50" s="48"/>
      <c r="C50" s="48"/>
      <c r="D50" s="48"/>
      <c r="E50" s="48"/>
      <c r="J50" s="55"/>
      <c r="L50" s="3"/>
      <c r="M50" s="3"/>
      <c r="N50" s="119"/>
      <c r="O50" s="119" t="str">
        <f t="shared" si="3"/>
        <v/>
      </c>
    </row>
    <row r="51" spans="1:16" ht="12" hidden="1">
      <c r="A51" s="422" t="s">
        <v>686</v>
      </c>
      <c r="B51" s="422"/>
      <c r="C51" s="48"/>
      <c r="D51" s="48"/>
      <c r="E51" s="48"/>
      <c r="J51" s="56" t="s">
        <v>1035</v>
      </c>
      <c r="K51" s="10"/>
      <c r="L51" s="3" t="str">
        <f>IF(ISNA(HLOOKUP($G$2,'Prior Year Amounts'!$K$32:$BE$249,14,FALSE)),"",(HLOOKUP($G$2,'Prior Year Amounts'!$K$32:$BE$249,14,FALSE)))</f>
        <v/>
      </c>
      <c r="M51" s="3" t="str">
        <f>IF(ISERR(K51-L51),"",(K51-L51))</f>
        <v/>
      </c>
      <c r="N51" s="119" t="str">
        <f t="shared" ref="N51:N56" si="4">IF(ISERR(IF(M51=0,0,IF((AND(L51=0,K51&gt;0)),1,IF((AND(L51=0,K51&lt;0)),-1,M51/ABS(L51))))),"",(IF(M51=0,0,IF((AND(L51=0,K51&gt;0)),1,IF((AND(L51=0,K51&lt;0)),-1,M51/ABS(L51))))))</f>
        <v/>
      </c>
      <c r="O51" s="119" t="str">
        <f t="shared" si="3"/>
        <v/>
      </c>
      <c r="P51" s="231"/>
    </row>
    <row r="52" spans="1:16" ht="12">
      <c r="A52" s="48" t="s">
        <v>649</v>
      </c>
      <c r="B52" s="48"/>
      <c r="C52" s="48"/>
      <c r="D52" s="48"/>
      <c r="E52" s="48"/>
      <c r="J52" s="55"/>
      <c r="K52" s="10"/>
      <c r="L52" s="3" t="str">
        <f>IF(ISNA(HLOOKUP($G$2,'Prior Year Amounts'!$K$32:$GH$253,15,FALSE)),"",(HLOOKUP($G$2,'Prior Year Amounts'!$K$32:$GH$253,15,FALSE)))</f>
        <v/>
      </c>
      <c r="M52" s="3" t="str">
        <f>IF(ISERR(K52-L52),"",(K52-L52))</f>
        <v/>
      </c>
      <c r="N52" s="119" t="str">
        <f t="shared" si="4"/>
        <v/>
      </c>
      <c r="O52" s="119" t="str">
        <f t="shared" si="3"/>
        <v/>
      </c>
      <c r="P52" s="235"/>
    </row>
    <row r="53" spans="1:16" ht="12" hidden="1">
      <c r="A53" s="422" t="s">
        <v>687</v>
      </c>
      <c r="B53" s="48"/>
      <c r="C53" s="48"/>
      <c r="D53" s="48"/>
      <c r="E53" s="48"/>
      <c r="J53" s="56" t="s">
        <v>447</v>
      </c>
      <c r="K53" s="10"/>
      <c r="L53" s="3" t="str">
        <f>IF(ISNA(HLOOKUP($G$2,'Prior Year Amounts'!$K$32:$GH$253,15,FALSE)),"",(HLOOKUP($G$2,'Prior Year Amounts'!$K$32:$GH$253,15,FALSE)))</f>
        <v/>
      </c>
      <c r="M53" s="3" t="str">
        <f>IF(ISERR(K53-L53),"",(K53-L53))</f>
        <v/>
      </c>
      <c r="N53" s="119" t="str">
        <f t="shared" si="4"/>
        <v/>
      </c>
      <c r="O53" s="119" t="str">
        <f t="shared" si="3"/>
        <v/>
      </c>
      <c r="P53" s="235"/>
    </row>
    <row r="54" spans="1:16" ht="12">
      <c r="A54" s="48" t="s">
        <v>1295</v>
      </c>
      <c r="B54" s="48"/>
      <c r="C54" s="48"/>
      <c r="D54" s="48"/>
      <c r="E54" s="48"/>
      <c r="J54" s="56" t="s">
        <v>275</v>
      </c>
      <c r="K54" s="10"/>
      <c r="L54" s="3" t="str">
        <f>IF(ISNA(HLOOKUP($G$2,'Prior Year Amounts'!$K$32:$GH$253,17,FALSE)),"",(HLOOKUP($G$2,'Prior Year Amounts'!$K$32:$GH$253,17,FALSE)))</f>
        <v/>
      </c>
      <c r="M54" s="3" t="str">
        <f>IF(ISERR(K54-L54),"",(K54-L54))</f>
        <v/>
      </c>
      <c r="N54" s="119" t="str">
        <f t="shared" si="4"/>
        <v/>
      </c>
      <c r="O54" s="119" t="str">
        <f t="shared" si="3"/>
        <v/>
      </c>
      <c r="P54" s="235"/>
    </row>
    <row r="55" spans="1:16" ht="12">
      <c r="A55" s="48" t="s">
        <v>883</v>
      </c>
      <c r="B55" s="48"/>
      <c r="C55" s="48"/>
      <c r="D55" s="48"/>
      <c r="E55" s="48"/>
      <c r="J55" s="56" t="s">
        <v>1686</v>
      </c>
      <c r="K55" s="45"/>
      <c r="L55" s="3" t="str">
        <f>IF(ISNA(HLOOKUP($G$2,'Prior Year Amounts'!$K$32:$GH$253,18,FALSE)),"",(HLOOKUP($G$2,'Prior Year Amounts'!$K$32:$GH$253,18,FALSE)))</f>
        <v/>
      </c>
      <c r="M55" s="3" t="str">
        <f>IF(ISERR(K55-L55),"",(K55-L55))</f>
        <v/>
      </c>
      <c r="N55" s="119" t="str">
        <f t="shared" si="4"/>
        <v/>
      </c>
      <c r="O55" s="119" t="str">
        <f t="shared" si="3"/>
        <v/>
      </c>
      <c r="P55" s="235"/>
    </row>
    <row r="56" spans="1:16" ht="12">
      <c r="A56" s="48"/>
      <c r="B56" s="49" t="s">
        <v>1602</v>
      </c>
      <c r="C56" s="48"/>
      <c r="D56" s="48"/>
      <c r="E56" s="48"/>
      <c r="J56" s="56" t="s">
        <v>310</v>
      </c>
      <c r="K56" s="8">
        <f>SUM(K51:K55)</f>
        <v>0</v>
      </c>
      <c r="L56" s="8">
        <f>SUM(L51:L55)</f>
        <v>0</v>
      </c>
      <c r="M56" s="8">
        <f>K56-L56</f>
        <v>0</v>
      </c>
      <c r="N56" s="139">
        <f t="shared" si="4"/>
        <v>0</v>
      </c>
      <c r="O56" s="119"/>
    </row>
    <row r="57" spans="1:16" ht="12">
      <c r="A57" s="48"/>
      <c r="B57" s="48"/>
      <c r="C57" s="48"/>
      <c r="D57" s="48"/>
      <c r="E57" s="48"/>
      <c r="J57" s="55"/>
      <c r="L57" s="3"/>
      <c r="M57" s="3"/>
      <c r="N57" s="119"/>
      <c r="O57" s="119" t="str">
        <f t="shared" ref="O57:O63" si="5">IF(L57="","",IF(OR((ABS(M57)&gt;19800000),AND(ABS(M57)&gt;9900000,ABS(N57)&gt;0.1)),"YES","-"))</f>
        <v/>
      </c>
    </row>
    <row r="58" spans="1:16" ht="12">
      <c r="A58" s="48" t="s">
        <v>740</v>
      </c>
      <c r="B58" s="48"/>
      <c r="C58" s="48"/>
      <c r="D58" s="48"/>
      <c r="E58" s="48"/>
      <c r="J58" s="56" t="s">
        <v>282</v>
      </c>
      <c r="K58" s="10"/>
      <c r="L58" s="3" t="str">
        <f>IF(ISNA(HLOOKUP($G$2,'Prior Year Amounts'!$K$32:$GH$253,21,FALSE)),"",(HLOOKUP($G$2,'Prior Year Amounts'!$K$32:$GH$253,21,FALSE)))</f>
        <v/>
      </c>
      <c r="M58" s="3" t="str">
        <f t="shared" ref="M58:M63" si="6">IF(ISERR(K58-L58),"",(K58-L58))</f>
        <v/>
      </c>
      <c r="N58" s="119" t="str">
        <f t="shared" ref="N58:N64" si="7">IF(ISERR(IF(M58=0,0,IF((AND(L58=0,K58&gt;0)),1,IF((AND(L58=0,K58&lt;0)),-1,M58/ABS(L58))))),"",(IF(M58=0,0,IF((AND(L58=0,K58&gt;0)),1,IF((AND(L58=0,K58&lt;0)),-1,M58/ABS(L58))))))</f>
        <v/>
      </c>
      <c r="O58" s="119" t="str">
        <f t="shared" si="5"/>
        <v/>
      </c>
      <c r="P58" s="235"/>
    </row>
    <row r="59" spans="1:16" ht="12">
      <c r="A59" s="48" t="s">
        <v>1308</v>
      </c>
      <c r="B59" s="48"/>
      <c r="C59" s="48"/>
      <c r="D59" s="48"/>
      <c r="E59" s="48"/>
      <c r="J59" s="56" t="s">
        <v>282</v>
      </c>
      <c r="K59" s="10"/>
      <c r="L59" s="3" t="str">
        <f>IF(ISNA(HLOOKUP($G$2,'Prior Year Amounts'!$K$32:$GH$253,22,FALSE)),"",(HLOOKUP($G$2,'Prior Year Amounts'!$K$32:$GH$253,22,FALSE)))</f>
        <v/>
      </c>
      <c r="M59" s="3" t="str">
        <f t="shared" si="6"/>
        <v/>
      </c>
      <c r="N59" s="119" t="str">
        <f t="shared" si="7"/>
        <v/>
      </c>
      <c r="O59" s="119" t="str">
        <f t="shared" si="5"/>
        <v/>
      </c>
      <c r="P59" s="235"/>
    </row>
    <row r="60" spans="1:16" ht="12">
      <c r="A60" s="48" t="s">
        <v>1091</v>
      </c>
      <c r="B60" s="48"/>
      <c r="C60" s="48"/>
      <c r="D60" s="48"/>
      <c r="E60" s="48"/>
      <c r="J60" s="56" t="s">
        <v>282</v>
      </c>
      <c r="K60" s="10"/>
      <c r="L60" s="3" t="str">
        <f>IF(ISNA(HLOOKUP($G$2,'Prior Year Amounts'!$K$32:$GH$253,23,FALSE)),"",(HLOOKUP($G$2,'Prior Year Amounts'!$K$32:$GH$253,23,FALSE)))</f>
        <v/>
      </c>
      <c r="M60" s="3" t="str">
        <f t="shared" si="6"/>
        <v/>
      </c>
      <c r="N60" s="119" t="str">
        <f t="shared" si="7"/>
        <v/>
      </c>
      <c r="O60" s="119" t="str">
        <f t="shared" si="5"/>
        <v/>
      </c>
      <c r="P60" s="235"/>
    </row>
    <row r="61" spans="1:16" ht="12">
      <c r="A61" s="48" t="s">
        <v>244</v>
      </c>
      <c r="B61" s="48"/>
      <c r="C61" s="48"/>
      <c r="D61" s="48"/>
      <c r="E61" s="48"/>
      <c r="J61" s="56" t="s">
        <v>282</v>
      </c>
      <c r="K61" s="10"/>
      <c r="L61" s="3" t="str">
        <f>IF(ISNA(HLOOKUP($G$2,'Prior Year Amounts'!$K$32:$GH$253,24,FALSE)),"",(HLOOKUP($G$2,'Prior Year Amounts'!$K$32:$GH$253,24,FALSE)))</f>
        <v/>
      </c>
      <c r="M61" s="3" t="str">
        <f t="shared" si="6"/>
        <v/>
      </c>
      <c r="N61" s="119" t="str">
        <f t="shared" si="7"/>
        <v/>
      </c>
      <c r="O61" s="119" t="str">
        <f t="shared" si="5"/>
        <v/>
      </c>
      <c r="P61" s="235"/>
    </row>
    <row r="62" spans="1:16" ht="12">
      <c r="A62" s="48" t="s">
        <v>689</v>
      </c>
      <c r="B62" s="48"/>
      <c r="C62" s="48"/>
      <c r="D62" s="48"/>
      <c r="E62" s="48"/>
      <c r="J62" s="56" t="s">
        <v>282</v>
      </c>
      <c r="K62" s="45"/>
      <c r="L62" s="3" t="str">
        <f>IF(ISNA(HLOOKUP($G$2,'Prior Year Amounts'!$K$32:$GH$253,25,FALSE)),"",(HLOOKUP($G$2,'Prior Year Amounts'!$K$32:$GH$253,25,FALSE)))</f>
        <v/>
      </c>
      <c r="M62" s="3" t="str">
        <f t="shared" si="6"/>
        <v/>
      </c>
      <c r="N62" s="119" t="str">
        <f t="shared" si="7"/>
        <v/>
      </c>
      <c r="O62" s="119" t="str">
        <f t="shared" si="5"/>
        <v/>
      </c>
      <c r="P62" s="235"/>
    </row>
    <row r="63" spans="1:16" ht="12">
      <c r="A63" s="48" t="s">
        <v>1635</v>
      </c>
      <c r="B63" s="48"/>
      <c r="C63" s="48"/>
      <c r="D63" s="48"/>
      <c r="E63" s="48"/>
      <c r="F63" s="156"/>
      <c r="G63" s="1150" t="str">
        <f>IF(K63&lt;&gt;0,"Answer Required","N/A")</f>
        <v>N/A</v>
      </c>
      <c r="H63" s="1151" t="str">
        <f>IF(J63&lt;&gt;0,"Answer Required","N/A")</f>
        <v>Answer Required</v>
      </c>
      <c r="I63" s="1152" t="str">
        <f>IF(K63&lt;&gt;0,"Answer Required","N/A")</f>
        <v>N/A</v>
      </c>
      <c r="J63" s="56" t="s">
        <v>282</v>
      </c>
      <c r="K63" s="45"/>
      <c r="L63" s="3" t="str">
        <f>IF(ISNA(HLOOKUP($G$2,'Prior Year Amounts'!$K$32:$GH$253,26,FALSE)),"",(HLOOKUP($G$2,'Prior Year Amounts'!$K$32:$GH$253,26,FALSE)))</f>
        <v/>
      </c>
      <c r="M63" s="3" t="str">
        <f t="shared" si="6"/>
        <v/>
      </c>
      <c r="N63" s="119" t="str">
        <f t="shared" si="7"/>
        <v/>
      </c>
      <c r="O63" s="119" t="str">
        <f t="shared" si="5"/>
        <v/>
      </c>
      <c r="P63" s="235"/>
    </row>
    <row r="64" spans="1:16" ht="12">
      <c r="A64" s="48"/>
      <c r="B64" s="49" t="s">
        <v>486</v>
      </c>
      <c r="C64" s="48"/>
      <c r="D64" s="48"/>
      <c r="E64" s="48"/>
      <c r="J64" s="55"/>
      <c r="K64" s="8">
        <f>SUM(K58:K63)</f>
        <v>0</v>
      </c>
      <c r="L64" s="8">
        <f>SUM(L58:L63)</f>
        <v>0</v>
      </c>
      <c r="M64" s="8">
        <f>K64-L64</f>
        <v>0</v>
      </c>
      <c r="N64" s="139">
        <f t="shared" si="7"/>
        <v>0</v>
      </c>
      <c r="O64" s="119"/>
    </row>
    <row r="65" spans="1:16" ht="12">
      <c r="A65" s="48"/>
      <c r="B65" s="48"/>
      <c r="C65" s="48"/>
      <c r="D65" s="48"/>
      <c r="E65" s="48"/>
      <c r="J65" s="55"/>
      <c r="L65" s="3"/>
      <c r="M65" s="3"/>
      <c r="N65" s="119"/>
      <c r="O65" s="119" t="str">
        <f t="shared" ref="O65:O80" si="8">IF(L65="","",IF(OR((ABS(M65)&gt;19800000),AND(ABS(M65)&gt;9900000,ABS(N65)&gt;0.1)),"YES","-"))</f>
        <v/>
      </c>
    </row>
    <row r="66" spans="1:16" ht="12.75" hidden="1">
      <c r="A66" s="50" t="s">
        <v>587</v>
      </c>
      <c r="B66" s="48"/>
      <c r="C66" s="48"/>
      <c r="D66" s="48"/>
      <c r="E66"/>
      <c r="F66" s="156"/>
      <c r="G66" s="1150"/>
      <c r="H66" s="1176"/>
      <c r="I66" s="1177"/>
      <c r="J66" s="56" t="s">
        <v>283</v>
      </c>
      <c r="K66" s="10"/>
      <c r="L66" s="3" t="str">
        <f>IF(ISNA(HLOOKUP($G$2,'Prior Year Amounts'!$K$32:$BE$249,28,FALSE)),"",(HLOOKUP($G$2,'Prior Year Amounts'!$K$32:$BE$249,28,FALSE)))</f>
        <v/>
      </c>
      <c r="M66" s="3" t="str">
        <f>IF(ISERR(K66-L66),"",(K66-L66))</f>
        <v/>
      </c>
      <c r="N66" s="119" t="str">
        <f>IF(ISERR(IF(M66=0,0,IF((AND(L66=0,K66&gt;0)),1,IF((AND(L66=0,K66&lt;0)),-1,M66/ABS(L66))))),"",(IF(M66=0,0,IF((AND(L66=0,K66&gt;0)),1,IF((AND(L66=0,K66&lt;0)),-1,M66/ABS(L66))))))</f>
        <v/>
      </c>
      <c r="O66" s="119" t="str">
        <f t="shared" si="8"/>
        <v/>
      </c>
      <c r="P66" s="231"/>
    </row>
    <row r="67" spans="1:16" ht="12" hidden="1">
      <c r="A67" s="48"/>
      <c r="B67" s="48"/>
      <c r="C67" s="48"/>
      <c r="D67" s="48"/>
      <c r="E67" s="48"/>
      <c r="J67" s="55"/>
      <c r="L67" s="3"/>
      <c r="M67" s="3"/>
      <c r="N67" s="119"/>
      <c r="O67" s="119" t="str">
        <f t="shared" si="8"/>
        <v/>
      </c>
    </row>
    <row r="68" spans="1:16" ht="12">
      <c r="A68" s="50" t="s">
        <v>1053</v>
      </c>
      <c r="B68" s="48"/>
      <c r="C68" s="48"/>
      <c r="D68" s="48"/>
      <c r="E68" s="48"/>
      <c r="F68" s="156"/>
      <c r="G68" s="1150" t="str">
        <f>IF(K63&lt;&gt;0,"Answer Required","N/A")</f>
        <v>N/A</v>
      </c>
      <c r="H68" s="1151"/>
      <c r="I68" s="1152"/>
      <c r="J68" s="56" t="s">
        <v>1864</v>
      </c>
      <c r="K68" s="10"/>
      <c r="L68" s="3" t="str">
        <f>IF(ISNA(HLOOKUP($G$2,'Prior Year Amounts'!$K$32:$GH$253,31,FALSE)),"",(HLOOKUP($G$2,'Prior Year Amounts'!$K$32:$GH$253,31,FALSE)))</f>
        <v/>
      </c>
      <c r="M68" s="3" t="str">
        <f>IF(ISERR(K68-L68),"",(K68-L68))</f>
        <v/>
      </c>
      <c r="N68" s="119" t="str">
        <f>IF(ISERR(IF(M68=0,0,IF((AND(L68=0,K68&gt;0)),1,IF((AND(L68=0,K68&lt;0)),-1,M68/ABS(L68))))),"",(IF(M68=0,0,IF((AND(L68=0,K68&gt;0)),1,IF((AND(L68=0,K68&lt;0)),-1,M68/ABS(L68))))))</f>
        <v/>
      </c>
      <c r="O68" s="119" t="str">
        <f t="shared" si="8"/>
        <v/>
      </c>
      <c r="P68" s="235"/>
    </row>
    <row r="69" spans="1:16" ht="12">
      <c r="A69" s="48"/>
      <c r="B69" s="48"/>
      <c r="C69" s="48"/>
      <c r="D69" s="48"/>
      <c r="E69" s="48"/>
      <c r="J69" s="55"/>
      <c r="L69" s="3"/>
      <c r="M69" s="3"/>
      <c r="N69" s="119"/>
      <c r="O69" s="119" t="str">
        <f t="shared" si="8"/>
        <v/>
      </c>
    </row>
    <row r="70" spans="1:16" ht="12">
      <c r="A70" s="50" t="s">
        <v>1054</v>
      </c>
      <c r="B70" s="48"/>
      <c r="C70" s="48"/>
      <c r="D70" s="48"/>
      <c r="E70" s="48"/>
      <c r="F70" s="423"/>
      <c r="G70" s="1150" t="str">
        <f>IF(K70&lt;&gt;0,"Answer Required","N/A")</f>
        <v>N/A</v>
      </c>
      <c r="H70" s="1151"/>
      <c r="I70" s="1152"/>
      <c r="J70" s="56" t="s">
        <v>1864</v>
      </c>
      <c r="K70" s="10"/>
      <c r="L70" s="3" t="str">
        <f>IF(ISNA(HLOOKUP($G$2,'Prior Year Amounts'!$K$32:$GH$253,33,FALSE)),"",(HLOOKUP($G$2,'Prior Year Amounts'!$K$32:$GH$253,33,FALSE)))</f>
        <v/>
      </c>
      <c r="M70" s="3" t="str">
        <f>IF(ISERR(K70-L70),"",(K70-L70))</f>
        <v/>
      </c>
      <c r="N70" s="119" t="str">
        <f>IF(ISERR(IF(M70=0,0,IF((AND(L70=0,K70&gt;0)),1,IF((AND(L70=0,K70&lt;0)),-1,M70/ABS(L70))))),"",(IF(M70=0,0,IF((AND(L70=0,K70&gt;0)),1,IF((AND(L70=0,K70&lt;0)),-1,M70/ABS(L70))))))</f>
        <v/>
      </c>
      <c r="O70" s="119" t="str">
        <f t="shared" si="8"/>
        <v/>
      </c>
      <c r="P70" s="235"/>
    </row>
    <row r="71" spans="1:16" ht="12">
      <c r="A71" s="48"/>
      <c r="B71" s="48"/>
      <c r="C71" s="48"/>
      <c r="D71" s="48"/>
      <c r="E71" s="48"/>
      <c r="J71" s="55"/>
      <c r="L71" s="3"/>
      <c r="M71" s="3"/>
      <c r="N71" s="119"/>
      <c r="O71" s="119" t="str">
        <f t="shared" si="8"/>
        <v/>
      </c>
    </row>
    <row r="72" spans="1:16" ht="12">
      <c r="A72" s="49" t="s">
        <v>233</v>
      </c>
      <c r="B72" s="48"/>
      <c r="C72" s="48"/>
      <c r="D72" s="48"/>
      <c r="E72" s="48"/>
      <c r="J72" s="56" t="s">
        <v>85</v>
      </c>
      <c r="K72" s="10"/>
      <c r="L72" s="3" t="str">
        <f>IF(ISNA(HLOOKUP($G$2,'Prior Year Amounts'!$K$32:$GH$253,35,FALSE)),"",(HLOOKUP($G$2,'Prior Year Amounts'!$K$32:$GH$253,35,FALSE)))</f>
        <v/>
      </c>
      <c r="M72" s="3" t="str">
        <f>IF(ISERR(K72-L72),"",(K72-L72))</f>
        <v/>
      </c>
      <c r="N72" s="119" t="str">
        <f>IF(ISERR(IF(M72=0,0,IF((AND(L72=0,K72&gt;0)),1,IF((AND(L72=0,K72&lt;0)),-1,M72/ABS(L72))))),"",(IF(M72=0,0,IF((AND(L72=0,K72&gt;0)),1,IF((AND(L72=0,K72&lt;0)),-1,M72/ABS(L72))))))</f>
        <v/>
      </c>
      <c r="O72" s="119" t="str">
        <f t="shared" si="8"/>
        <v/>
      </c>
      <c r="P72" s="235"/>
    </row>
    <row r="73" spans="1:16" ht="12">
      <c r="A73" s="48"/>
      <c r="B73" s="48"/>
      <c r="C73" s="48"/>
      <c r="D73" s="48"/>
      <c r="E73" s="48"/>
      <c r="J73" s="55"/>
      <c r="L73" s="3"/>
      <c r="M73" s="3"/>
      <c r="N73" s="119"/>
      <c r="O73" s="119" t="str">
        <f t="shared" si="8"/>
        <v/>
      </c>
    </row>
    <row r="74" spans="1:16" ht="12">
      <c r="A74" s="49" t="s">
        <v>234</v>
      </c>
      <c r="B74" s="48"/>
      <c r="C74" s="48"/>
      <c r="D74" s="48"/>
      <c r="E74" s="48"/>
      <c r="J74" s="55"/>
      <c r="K74" s="10"/>
      <c r="L74" s="3" t="str">
        <f>IF(ISNA(HLOOKUP($G$2,'Prior Year Amounts'!$K$32:$GH$253,37,FALSE)),"",(HLOOKUP($G$2,'Prior Year Amounts'!$K$32:$GH$253,37,FALSE)))</f>
        <v/>
      </c>
      <c r="M74" s="3" t="str">
        <f>IF(ISERR(K74-L74),"",(K74-L74))</f>
        <v/>
      </c>
      <c r="N74" s="119" t="str">
        <f>IF(ISERR(IF(M74=0,0,IF((AND(L74=0,K74&gt;0)),1,IF((AND(L74=0,K74&lt;0)),-1,M74/ABS(L74))))),"",(IF(M74=0,0,IF((AND(L74=0,K74&gt;0)),1,IF((AND(L74=0,K74&lt;0)),-1,M74/ABS(L74))))))</f>
        <v/>
      </c>
      <c r="O74" s="119" t="str">
        <f t="shared" si="8"/>
        <v/>
      </c>
      <c r="P74" s="235"/>
    </row>
    <row r="75" spans="1:16" ht="12">
      <c r="A75" s="48"/>
      <c r="B75" s="48"/>
      <c r="C75" s="48"/>
      <c r="D75" s="48"/>
      <c r="E75" s="48"/>
      <c r="J75" s="55"/>
      <c r="L75" s="3"/>
      <c r="M75" s="3"/>
      <c r="N75" s="119"/>
      <c r="O75" s="119" t="str">
        <f t="shared" si="8"/>
        <v/>
      </c>
    </row>
    <row r="76" spans="1:16" ht="12" hidden="1">
      <c r="A76" s="49"/>
      <c r="B76" s="48"/>
      <c r="C76" s="48"/>
      <c r="D76" s="48"/>
      <c r="E76" s="48"/>
      <c r="J76" s="55"/>
      <c r="L76" s="3" t="str">
        <f>IF(ISNA(HLOOKUP($G$2,'Prior Year Amounts'!$K$32:$GH$253,31,FALSE)),"",(HLOOKUP($G$2,'Prior Year Amounts'!$K$32:$GH$253,31,FALSE)))</f>
        <v/>
      </c>
      <c r="M76" s="3" t="e">
        <f>K76-L76</f>
        <v>#VALUE!</v>
      </c>
      <c r="N76" s="119" t="e">
        <f>IF(M76=0,"0%",M76/ABS(L76))</f>
        <v>#VALUE!</v>
      </c>
      <c r="O76" s="119" t="str">
        <f t="shared" si="8"/>
        <v/>
      </c>
    </row>
    <row r="77" spans="1:16" ht="12">
      <c r="A77" s="48" t="s">
        <v>117</v>
      </c>
      <c r="B77" s="48"/>
      <c r="C77" s="48"/>
      <c r="D77" s="48"/>
      <c r="E77" s="48"/>
      <c r="J77" s="55"/>
      <c r="K77" s="10"/>
      <c r="L77" s="3" t="str">
        <f>IF(ISNA(HLOOKUP($G$2,'Prior Year Amounts'!$K$32:$GH$253,40,FALSE)),"",(HLOOKUP($G$2,'Prior Year Amounts'!$K$32:$GH$253,40,FALSE)))</f>
        <v/>
      </c>
      <c r="M77" s="3" t="str">
        <f>IF(ISERR(K77-L77),"",(K77-L77))</f>
        <v/>
      </c>
      <c r="N77" s="119" t="str">
        <f>IF(ISERR(IF(M77=0,0,IF((AND(L77=0,K77&gt;0)),1,IF((AND(L77=0,K77&lt;0)),-1,M77/ABS(L77))))),"",(IF(M77=0,0,IF((AND(L77=0,K77&gt;0)),1,IF((AND(L77=0,K77&lt;0)),-1,M77/ABS(L77))))))</f>
        <v/>
      </c>
      <c r="O77" s="119" t="str">
        <f t="shared" si="8"/>
        <v/>
      </c>
      <c r="P77" s="235"/>
    </row>
    <row r="78" spans="1:16" ht="12">
      <c r="A78" s="48" t="s">
        <v>232</v>
      </c>
      <c r="B78" s="48"/>
      <c r="C78" s="48"/>
      <c r="D78" s="48"/>
      <c r="E78" s="48"/>
      <c r="J78" s="55"/>
      <c r="K78" s="10"/>
      <c r="L78" s="3" t="str">
        <f>IF(ISNA(HLOOKUP($G$2,'Prior Year Amounts'!$K$32:$GH$253,41,FALSE)),"",(HLOOKUP($G$2,'Prior Year Amounts'!$K$32:$GH$253,41,FALSE)))</f>
        <v/>
      </c>
      <c r="M78" s="3" t="str">
        <f>IF(ISERR(K78-L78),"",(K78-L78))</f>
        <v/>
      </c>
      <c r="N78" s="119" t="str">
        <f>IF(ISERR(IF(M78=0,0,IF((AND(L78=0,K78&gt;0)),1,IF((AND(L78=0,K78&lt;0)),-1,M78/ABS(L78))))),"",(IF(M78=0,0,IF((AND(L78=0,K78&gt;0)),1,IF((AND(L78=0,K78&lt;0)),-1,M78/ABS(L78))))))</f>
        <v/>
      </c>
      <c r="O78" s="119" t="str">
        <f t="shared" si="8"/>
        <v/>
      </c>
      <c r="P78" s="235"/>
    </row>
    <row r="79" spans="1:16" ht="12" hidden="1">
      <c r="A79" s="48" t="s">
        <v>940</v>
      </c>
      <c r="B79" s="48"/>
      <c r="C79" s="48"/>
      <c r="D79" s="48"/>
      <c r="E79" s="48"/>
      <c r="J79" s="55"/>
      <c r="K79" s="10"/>
      <c r="L79" s="3" t="str">
        <f>IF(ISNA(HLOOKUP($G$2,'Prior Year Amounts'!$K$32:$GH$253,31,FALSE)),"",(HLOOKUP($G$2,'Prior Year Amounts'!$K$32:$GH$253,31,FALSE)))</f>
        <v/>
      </c>
      <c r="M79" s="3" t="str">
        <f>IF(ISERR(K79-L79),"",(K79-L79))</f>
        <v/>
      </c>
      <c r="N79" s="119" t="str">
        <f>IF(ISERR(IF(M79=0,0,IF((AND(L79=0,K79&gt;0)),1,IF((AND(L79=0,K79&lt;0)),-1,M79/ABS(L79))))),"",(IF(M79=0,0,IF((AND(L79=0,K79&gt;0)),1,IF((AND(L79=0,K79&lt;0)),-1,M79/ABS(L79))))))</f>
        <v/>
      </c>
      <c r="O79" s="119" t="str">
        <f t="shared" si="8"/>
        <v/>
      </c>
      <c r="P79" s="235"/>
    </row>
    <row r="80" spans="1:16" ht="12">
      <c r="A80" s="48" t="s">
        <v>185</v>
      </c>
      <c r="B80" s="48"/>
      <c r="C80" s="48"/>
      <c r="D80" s="48"/>
      <c r="E80" s="48"/>
      <c r="F80" s="156"/>
      <c r="G80" s="1150" t="str">
        <f>IF(K80&lt;&gt;0,"Answer Required","N/A")</f>
        <v>N/A</v>
      </c>
      <c r="H80" s="1151" t="str">
        <f>IF(J80&lt;&gt;0,"Answer Required","N/A")</f>
        <v>N/A</v>
      </c>
      <c r="I80" s="1152" t="str">
        <f>IF(K80&lt;&gt;0,"Answer Required","N/A")</f>
        <v>N/A</v>
      </c>
      <c r="J80" s="55"/>
      <c r="K80" s="45"/>
      <c r="L80" s="3" t="str">
        <f>IF(ISNA(HLOOKUP($G$2,'Prior Year Amounts'!$K$32:$GH$253,43,FALSE)),"",(HLOOKUP($G$2,'Prior Year Amounts'!$K$32:$GH$253,43,FALSE)))</f>
        <v/>
      </c>
      <c r="M80" s="3" t="str">
        <f>IF(ISERR(K80-L80),"",(K80-L80))</f>
        <v/>
      </c>
      <c r="N80" s="119" t="str">
        <f>IF(ISERR(IF(M80=0,0,IF((AND(L80=0,K80&gt;0)),1,IF((AND(L80=0,K80&lt;0)),-1,M80/ABS(L80))))),"",(IF(M80=0,0,IF((AND(L80=0,K80&gt;0)),1,IF((AND(L80=0,K80&lt;0)),-1,M80/ABS(L80))))))</f>
        <v/>
      </c>
      <c r="O80" s="119" t="str">
        <f t="shared" si="8"/>
        <v/>
      </c>
      <c r="P80" s="235"/>
    </row>
    <row r="81" spans="1:16" ht="12">
      <c r="A81" s="48"/>
      <c r="B81" s="49" t="s">
        <v>1603</v>
      </c>
      <c r="C81" s="48"/>
      <c r="D81" s="48"/>
      <c r="E81" s="48"/>
      <c r="J81" s="55"/>
      <c r="K81" s="8">
        <f>SUM(K77:K78,K80)</f>
        <v>0</v>
      </c>
      <c r="L81" s="8">
        <f>SUM(L77:L78,L80)</f>
        <v>0</v>
      </c>
      <c r="M81" s="8">
        <f t="shared" ref="M81" si="9">SUM(M77:M78,M80)</f>
        <v>0</v>
      </c>
      <c r="N81" s="139">
        <f>IF(M81=0,0,IF((AND(L81=0,K81&gt;0)),1,IF((AND(L81=0,K81&lt;0)),-1,M81/ABS(L81))))</f>
        <v>0</v>
      </c>
      <c r="O81" s="119"/>
    </row>
    <row r="82" spans="1:16" ht="12">
      <c r="A82" s="48"/>
      <c r="B82" s="48"/>
      <c r="C82" s="48"/>
      <c r="D82" s="48"/>
      <c r="E82" s="48"/>
      <c r="J82" s="55"/>
      <c r="L82" s="3"/>
      <c r="M82" s="3"/>
      <c r="N82" s="119"/>
      <c r="O82" s="119" t="str">
        <f t="shared" ref="O82:O95" si="10">IF(L82="","",IF(OR((ABS(M82)&gt;19800000),AND(ABS(M82)&gt;9900000,ABS(N82)&gt;0.1)),"YES","-"))</f>
        <v/>
      </c>
    </row>
    <row r="83" spans="1:16" ht="12" hidden="1">
      <c r="A83" s="48"/>
      <c r="B83" s="48"/>
      <c r="C83" s="48"/>
      <c r="D83" s="48"/>
      <c r="E83" s="48"/>
      <c r="G83" s="2" t="str">
        <f>G1</f>
        <v/>
      </c>
      <c r="J83" s="55"/>
      <c r="L83" s="3"/>
      <c r="M83" s="3">
        <f t="shared" ref="M83:M88" si="11">K83-L83</f>
        <v>0</v>
      </c>
      <c r="N83" s="119" t="str">
        <f t="shared" ref="N83:N88" si="12">IF(M83=0,"0%",M83/ABS(L83))</f>
        <v>0%</v>
      </c>
      <c r="O83" s="119" t="str">
        <f t="shared" si="10"/>
        <v/>
      </c>
    </row>
    <row r="84" spans="1:16" ht="12" hidden="1">
      <c r="A84" s="48"/>
      <c r="B84" s="48"/>
      <c r="C84" s="48"/>
      <c r="D84" s="48"/>
      <c r="E84" s="48"/>
      <c r="G84" s="2">
        <f>G2</f>
        <v>0</v>
      </c>
      <c r="J84" s="55"/>
      <c r="L84" s="3"/>
      <c r="M84" s="3">
        <f t="shared" si="11"/>
        <v>0</v>
      </c>
      <c r="N84" s="119" t="str">
        <f t="shared" si="12"/>
        <v>0%</v>
      </c>
      <c r="O84" s="119" t="str">
        <f t="shared" si="10"/>
        <v/>
      </c>
    </row>
    <row r="85" spans="1:16" ht="12" hidden="1">
      <c r="A85" s="48"/>
      <c r="B85" s="48"/>
      <c r="C85" s="48"/>
      <c r="D85" s="48"/>
      <c r="E85" s="48"/>
      <c r="J85" s="55"/>
      <c r="L85" s="3"/>
      <c r="M85" s="3">
        <f t="shared" si="11"/>
        <v>0</v>
      </c>
      <c r="N85" s="119" t="str">
        <f t="shared" si="12"/>
        <v>0%</v>
      </c>
      <c r="O85" s="119" t="str">
        <f t="shared" si="10"/>
        <v/>
      </c>
    </row>
    <row r="86" spans="1:16" ht="12" hidden="1">
      <c r="A86" s="48"/>
      <c r="B86" s="48"/>
      <c r="C86" s="48"/>
      <c r="D86" s="48"/>
      <c r="E86" s="48"/>
      <c r="J86" s="55"/>
      <c r="L86" s="3"/>
      <c r="M86" s="3">
        <f t="shared" si="11"/>
        <v>0</v>
      </c>
      <c r="N86" s="119" t="str">
        <f t="shared" si="12"/>
        <v>0%</v>
      </c>
      <c r="O86" s="119" t="str">
        <f t="shared" si="10"/>
        <v/>
      </c>
    </row>
    <row r="87" spans="1:16" ht="12" hidden="1">
      <c r="A87" s="48"/>
      <c r="B87" s="48"/>
      <c r="C87" s="48"/>
      <c r="D87" s="48"/>
      <c r="E87" s="48"/>
      <c r="J87" s="55"/>
      <c r="L87" s="3"/>
      <c r="M87" s="3">
        <f t="shared" si="11"/>
        <v>0</v>
      </c>
      <c r="N87" s="119" t="str">
        <f t="shared" si="12"/>
        <v>0%</v>
      </c>
      <c r="O87" s="119" t="str">
        <f t="shared" si="10"/>
        <v/>
      </c>
    </row>
    <row r="88" spans="1:16" ht="12" hidden="1">
      <c r="A88" s="48"/>
      <c r="B88" s="48"/>
      <c r="C88" s="48"/>
      <c r="D88" s="48"/>
      <c r="E88" s="48"/>
      <c r="J88" s="55"/>
      <c r="L88" s="3"/>
      <c r="M88" s="3">
        <f t="shared" si="11"/>
        <v>0</v>
      </c>
      <c r="N88" s="119" t="str">
        <f t="shared" si="12"/>
        <v>0%</v>
      </c>
      <c r="O88" s="119" t="str">
        <f t="shared" si="10"/>
        <v/>
      </c>
    </row>
    <row r="89" spans="1:16" ht="12">
      <c r="A89" s="48" t="s">
        <v>1037</v>
      </c>
      <c r="B89" s="48"/>
      <c r="C89" s="48"/>
      <c r="D89" s="48"/>
      <c r="E89" s="48"/>
      <c r="J89" s="56" t="s">
        <v>308</v>
      </c>
      <c r="K89" s="10"/>
      <c r="L89" s="3" t="str">
        <f>IF(ISNA(HLOOKUP($G$2,'Prior Year Amounts'!$K$32:$GH$253,52,FALSE)),"",(HLOOKUP($G$2,'Prior Year Amounts'!$K$32:$GH$253,52,FALSE)))</f>
        <v/>
      </c>
      <c r="M89" s="3" t="str">
        <f t="shared" ref="M89:M95" si="13">IF(ISERR(K89-L89),"",(K89-L89))</f>
        <v/>
      </c>
      <c r="N89" s="119" t="str">
        <f t="shared" ref="N89:N95" si="14">IF(ISERR(IF(M89=0,0,IF((AND(L89=0,K89&gt;0)),1,IF((AND(L89=0,K89&lt;0)),-1,M89/ABS(L89))))),"",(IF(M89=0,0,IF((AND(L89=0,K89&gt;0)),1,IF((AND(L89=0,K89&lt;0)),-1,M89/ABS(L89))))))</f>
        <v/>
      </c>
      <c r="O89" s="119" t="str">
        <f t="shared" si="10"/>
        <v/>
      </c>
      <c r="P89" s="235"/>
    </row>
    <row r="90" spans="1:16" ht="12">
      <c r="A90" s="48" t="s">
        <v>536</v>
      </c>
      <c r="B90" s="48"/>
      <c r="C90" s="48"/>
      <c r="D90" s="48"/>
      <c r="E90" s="48"/>
      <c r="J90" s="56" t="s">
        <v>642</v>
      </c>
      <c r="K90" s="10"/>
      <c r="L90" s="3" t="str">
        <f>IF(ISNA(HLOOKUP($G$2,'Prior Year Amounts'!$K$32:$GH$253,53,FALSE)),"",(HLOOKUP($G$2,'Prior Year Amounts'!$K$32:$GH$253,53,FALSE)))</f>
        <v/>
      </c>
      <c r="M90" s="3" t="str">
        <f t="shared" si="13"/>
        <v/>
      </c>
      <c r="N90" s="119" t="str">
        <f t="shared" si="14"/>
        <v/>
      </c>
      <c r="O90" s="119" t="str">
        <f t="shared" si="10"/>
        <v/>
      </c>
      <c r="P90" s="235"/>
    </row>
    <row r="91" spans="1:16" ht="12">
      <c r="A91" s="48" t="s">
        <v>70</v>
      </c>
      <c r="B91" s="48"/>
      <c r="C91" s="48"/>
      <c r="D91" s="48"/>
      <c r="E91" s="48"/>
      <c r="J91" s="56" t="s">
        <v>448</v>
      </c>
      <c r="K91" s="10"/>
      <c r="L91" s="3" t="str">
        <f>IF(ISNA(HLOOKUP($G$2,'Prior Year Amounts'!$K$32:$GH$253,54,FALSE)),"",(HLOOKUP($G$2,'Prior Year Amounts'!$K$32:$GH$253,54,FALSE)))</f>
        <v/>
      </c>
      <c r="M91" s="3" t="str">
        <f t="shared" si="13"/>
        <v/>
      </c>
      <c r="N91" s="119" t="str">
        <f t="shared" si="14"/>
        <v/>
      </c>
      <c r="O91" s="119" t="str">
        <f t="shared" si="10"/>
        <v/>
      </c>
      <c r="P91" s="235"/>
    </row>
    <row r="92" spans="1:16" ht="12">
      <c r="A92" s="48" t="s">
        <v>181</v>
      </c>
      <c r="B92" s="48"/>
      <c r="C92" s="48"/>
      <c r="D92" s="48"/>
      <c r="E92" s="48"/>
      <c r="J92" s="56" t="s">
        <v>445</v>
      </c>
      <c r="K92" s="10"/>
      <c r="L92" s="3" t="str">
        <f>IF(ISNA(HLOOKUP($G$2,'Prior Year Amounts'!$K$32:$GH$253,55,FALSE)),"",(HLOOKUP($G$2,'Prior Year Amounts'!$K$32:$GH$253,55,FALSE)))</f>
        <v/>
      </c>
      <c r="M92" s="3" t="str">
        <f t="shared" si="13"/>
        <v/>
      </c>
      <c r="N92" s="119" t="str">
        <f t="shared" si="14"/>
        <v/>
      </c>
      <c r="O92" s="119" t="str">
        <f t="shared" si="10"/>
        <v/>
      </c>
      <c r="P92" s="235"/>
    </row>
    <row r="93" spans="1:16" ht="12">
      <c r="A93" s="48" t="s">
        <v>269</v>
      </c>
      <c r="B93" s="48"/>
      <c r="C93" s="48"/>
      <c r="D93" s="48"/>
      <c r="E93" s="48"/>
      <c r="J93" s="56" t="s">
        <v>1357</v>
      </c>
      <c r="K93" s="10"/>
      <c r="L93" s="3" t="str">
        <f>IF(ISNA(HLOOKUP($G$2,'Prior Year Amounts'!$K$32:$GH$253,56,FALSE)),"",(HLOOKUP($G$2,'Prior Year Amounts'!$K$32:$GH$253,56,FALSE)))</f>
        <v/>
      </c>
      <c r="M93" s="3" t="str">
        <f t="shared" si="13"/>
        <v/>
      </c>
      <c r="N93" s="119" t="str">
        <f t="shared" si="14"/>
        <v/>
      </c>
      <c r="O93" s="119" t="str">
        <f t="shared" si="10"/>
        <v/>
      </c>
      <c r="P93" s="235"/>
    </row>
    <row r="94" spans="1:16" ht="12">
      <c r="A94" s="48" t="s">
        <v>884</v>
      </c>
      <c r="B94" s="48"/>
      <c r="C94" s="48"/>
      <c r="D94" s="48"/>
      <c r="E94" s="48"/>
      <c r="J94" s="56" t="s">
        <v>277</v>
      </c>
      <c r="K94" s="10"/>
      <c r="L94" s="3" t="str">
        <f>IF(ISNA(HLOOKUP($G$2,'Prior Year Amounts'!$K$32:$GH$253,57,FALSE)),"",(HLOOKUP($G$2,'Prior Year Amounts'!$K$32:$GH$253,57,FALSE)))</f>
        <v/>
      </c>
      <c r="M94" s="3" t="str">
        <f t="shared" si="13"/>
        <v/>
      </c>
      <c r="N94" s="119" t="str">
        <f t="shared" si="14"/>
        <v/>
      </c>
      <c r="O94" s="119" t="str">
        <f t="shared" si="10"/>
        <v/>
      </c>
      <c r="P94" s="235"/>
    </row>
    <row r="95" spans="1:16" ht="12">
      <c r="A95" s="48" t="s">
        <v>885</v>
      </c>
      <c r="B95" s="48"/>
      <c r="C95" s="48"/>
      <c r="D95" s="48"/>
      <c r="E95" s="48"/>
      <c r="J95" s="56" t="s">
        <v>1686</v>
      </c>
      <c r="K95" s="45"/>
      <c r="L95" s="3" t="str">
        <f>IF(ISNA(HLOOKUP($G$2,'Prior Year Amounts'!$K$32:$GH$253,58,FALSE)),"",(HLOOKUP($G$2,'Prior Year Amounts'!$K$32:$GH$253,58,FALSE)))</f>
        <v/>
      </c>
      <c r="M95" s="3" t="str">
        <f t="shared" si="13"/>
        <v/>
      </c>
      <c r="N95" s="119" t="str">
        <f t="shared" si="14"/>
        <v/>
      </c>
      <c r="O95" s="119" t="str">
        <f t="shared" si="10"/>
        <v/>
      </c>
      <c r="P95" s="235"/>
    </row>
    <row r="96" spans="1:16" ht="12">
      <c r="A96" s="48"/>
      <c r="B96" s="49" t="s">
        <v>218</v>
      </c>
      <c r="C96" s="48"/>
      <c r="D96" s="48"/>
      <c r="E96" s="48"/>
      <c r="J96" s="56" t="s">
        <v>310</v>
      </c>
      <c r="K96" s="8">
        <f>SUM(K89:K95)</f>
        <v>0</v>
      </c>
      <c r="L96" s="8">
        <f>SUM(L89:L95)</f>
        <v>0</v>
      </c>
      <c r="M96" s="8">
        <f>K96-L96</f>
        <v>0</v>
      </c>
      <c r="N96" s="139">
        <f>IF(M96=0,0,IF((AND(L96=0,K96&gt;0)),1,IF((AND(L96=0,K96&lt;0)),-1,M96/ABS(L96))))</f>
        <v>0</v>
      </c>
      <c r="O96" s="119"/>
    </row>
    <row r="97" spans="1:16" ht="12">
      <c r="A97" s="48"/>
      <c r="B97" s="48"/>
      <c r="C97" s="48"/>
      <c r="D97" s="48"/>
      <c r="E97" s="48"/>
      <c r="J97" s="55"/>
      <c r="L97" s="3"/>
      <c r="M97" s="3"/>
      <c r="N97" s="119"/>
      <c r="O97" s="119" t="str">
        <f t="shared" ref="O97:O102" si="15">IF(L97="","",IF(OR((ABS(M97)&gt;19800000),AND(ABS(M97)&gt;9900000,ABS(N97)&gt;0.1)),"YES","-"))</f>
        <v/>
      </c>
    </row>
    <row r="98" spans="1:16" ht="12" hidden="1">
      <c r="A98" s="48"/>
      <c r="B98" s="48"/>
      <c r="C98" s="48"/>
      <c r="D98" s="48"/>
      <c r="E98" s="48"/>
      <c r="J98" s="55"/>
      <c r="L98" s="3"/>
      <c r="M98" s="3">
        <f>K98-L98</f>
        <v>0</v>
      </c>
      <c r="N98" s="119" t="str">
        <f>IF(M98=0,"0%",M98/ABS(L98))</f>
        <v>0%</v>
      </c>
      <c r="O98" s="119" t="str">
        <f t="shared" si="15"/>
        <v/>
      </c>
    </row>
    <row r="99" spans="1:16" ht="12">
      <c r="A99" s="48" t="s">
        <v>268</v>
      </c>
      <c r="B99" s="48"/>
      <c r="C99" s="48"/>
      <c r="D99" s="48"/>
      <c r="E99" s="48"/>
      <c r="J99" s="56" t="s">
        <v>1357</v>
      </c>
      <c r="K99" s="10"/>
      <c r="L99" s="3" t="str">
        <f>IF(ISNA(HLOOKUP($G$2,'Prior Year Amounts'!$K$32:$GH$253,62,FALSE)),"",(HLOOKUP($G$2,'Prior Year Amounts'!$K$32:$GH$253,62,FALSE)))</f>
        <v/>
      </c>
      <c r="M99" s="3" t="str">
        <f>IF(ISERR(K99-L99),"",(K99-L99))</f>
        <v/>
      </c>
      <c r="N99" s="119" t="str">
        <f>IF(ISERR(IF(M99=0,0,IF((AND(L99=0,K99&gt;0)),1,IF((AND(L99=0,K99&lt;0)),-1,M99/ABS(L99))))),"",(IF(M99=0,0,IF((AND(L99=0,K99&gt;0)),1,IF((AND(L99=0,K99&lt;0)),-1,M99/ABS(L99))))))</f>
        <v/>
      </c>
      <c r="O99" s="119" t="str">
        <f t="shared" si="15"/>
        <v/>
      </c>
      <c r="P99" s="235"/>
    </row>
    <row r="100" spans="1:16" ht="12" hidden="1">
      <c r="A100" s="48" t="s">
        <v>71</v>
      </c>
      <c r="B100" s="48"/>
      <c r="C100" s="48"/>
      <c r="D100" s="48"/>
      <c r="E100" s="48"/>
      <c r="J100" s="56" t="s">
        <v>449</v>
      </c>
      <c r="K100" s="45"/>
      <c r="L100" s="3" t="str">
        <f>IF(ISNA(HLOOKUP($G$2,'Prior Year Amounts'!$K$32:$GH$253,62,FALSE)),"",(HLOOKUP($G$2,'Prior Year Amounts'!$K$32:$GH$253,62,FALSE)))</f>
        <v/>
      </c>
      <c r="M100" s="3" t="str">
        <f>IF(ISERR(K100-L100),"",(K100-L100))</f>
        <v/>
      </c>
      <c r="N100" s="119" t="str">
        <f>IF(ISERR(IF(M100=0,0,IF((AND(L100=0,K100&gt;0)),1,IF((AND(L100=0,K100&lt;0)),-1,M100/ABS(L100))))),"",(IF(M100=0,0,IF((AND(L100=0,K100&gt;0)),1,IF((AND(L100=0,K100&lt;0)),-1,M100/ABS(L100))))))</f>
        <v/>
      </c>
      <c r="O100" s="119" t="str">
        <f t="shared" si="15"/>
        <v/>
      </c>
      <c r="P100" s="235"/>
    </row>
    <row r="101" spans="1:16" ht="12">
      <c r="A101" s="48" t="s">
        <v>1296</v>
      </c>
      <c r="B101" s="48"/>
      <c r="C101" s="48"/>
      <c r="D101" s="48"/>
      <c r="E101" s="48"/>
      <c r="J101" s="56" t="s">
        <v>641</v>
      </c>
      <c r="K101" s="45"/>
      <c r="L101" s="3" t="str">
        <f>IF(ISNA(HLOOKUP($G$2,'Prior Year Amounts'!$K$32:$GH$253,64,FALSE)),"",(HLOOKUP($G$2,'Prior Year Amounts'!$K$32:$GH$253,64,FALSE)))</f>
        <v/>
      </c>
      <c r="M101" s="3" t="str">
        <f>IF(ISERR(K101-L101),"",(K101-L101))</f>
        <v/>
      </c>
      <c r="N101" s="119" t="str">
        <f>IF(ISERR(IF(M101=0,0,IF((AND(L101=0,K101&gt;0)),1,IF((AND(L101=0,K101&lt;0)),-1,M101/ABS(L101))))),"",(IF(M101=0,0,IF((AND(L101=0,K101&gt;0)),1,IF((AND(L101=0,K101&lt;0)),-1,M101/ABS(L101))))))</f>
        <v/>
      </c>
      <c r="O101" s="119" t="str">
        <f t="shared" si="15"/>
        <v/>
      </c>
      <c r="P101" s="235"/>
    </row>
    <row r="102" spans="1:16" ht="12">
      <c r="A102" s="48" t="s">
        <v>886</v>
      </c>
      <c r="B102" s="48"/>
      <c r="C102" s="48"/>
      <c r="D102" s="48"/>
      <c r="E102" s="48"/>
      <c r="J102" s="56" t="s">
        <v>1686</v>
      </c>
      <c r="K102" s="45"/>
      <c r="L102" s="3" t="str">
        <f>IF(ISNA(HLOOKUP($G$2,'Prior Year Amounts'!$K$32:$GH$253,65,FALSE)),"",(HLOOKUP($G$2,'Prior Year Amounts'!$K$32:$GH$253,65,FALSE)))</f>
        <v/>
      </c>
      <c r="M102" s="3" t="str">
        <f>IF(ISERR(K102-L102),"",(K102-L102))</f>
        <v/>
      </c>
      <c r="N102" s="119" t="str">
        <f>IF(ISERR(IF(M102=0,0,IF((AND(L102=0,K102&gt;0)),1,IF((AND(L102=0,K102&lt;0)),-1,M102/ABS(L102))))),"",(IF(M102=0,0,IF((AND(L102=0,K102&gt;0)),1,IF((AND(L102=0,K102&lt;0)),-1,M102/ABS(L102))))))</f>
        <v/>
      </c>
      <c r="O102" s="119" t="str">
        <f t="shared" si="15"/>
        <v/>
      </c>
      <c r="P102" s="235"/>
    </row>
    <row r="103" spans="1:16" ht="12">
      <c r="A103" s="48"/>
      <c r="B103" s="49" t="s">
        <v>219</v>
      </c>
      <c r="C103" s="48"/>
      <c r="D103" s="48"/>
      <c r="E103" s="48"/>
      <c r="J103" s="56" t="s">
        <v>310</v>
      </c>
      <c r="K103" s="8">
        <f>SUM(K99:K102)</f>
        <v>0</v>
      </c>
      <c r="L103" s="8">
        <f>SUM(L99:L102)</f>
        <v>0</v>
      </c>
      <c r="M103" s="8">
        <f>K103-L103</f>
        <v>0</v>
      </c>
      <c r="N103" s="139">
        <f>IF(M103=0,0,IF((AND(L103=0,K103&gt;0)),1,IF((AND(L103=0,K103&lt;0)),-1,M103/ABS(L103))))</f>
        <v>0</v>
      </c>
      <c r="O103" s="119"/>
    </row>
    <row r="104" spans="1:16" ht="12">
      <c r="A104" s="48"/>
      <c r="B104" s="48"/>
      <c r="C104" s="48"/>
      <c r="D104" s="48"/>
      <c r="E104" s="48"/>
      <c r="J104" s="55"/>
      <c r="L104" s="3"/>
      <c r="M104" s="3"/>
      <c r="N104" s="119"/>
      <c r="O104" s="119" t="str">
        <f t="shared" ref="O104:O109" si="16">IF(L104="","",IF(OR((ABS(M104)&gt;19800000),AND(ABS(M104)&gt;9900000,ABS(N104)&gt;0.1)),"YES","-"))</f>
        <v/>
      </c>
    </row>
    <row r="105" spans="1:16" ht="12" hidden="1">
      <c r="A105" s="48"/>
      <c r="B105" s="48"/>
      <c r="C105" s="48"/>
      <c r="D105" s="48"/>
      <c r="E105" s="48"/>
      <c r="J105" s="55"/>
      <c r="L105" s="3"/>
      <c r="M105" s="3">
        <f>K105-L105</f>
        <v>0</v>
      </c>
      <c r="N105" s="119" t="str">
        <f>IF(M105=0,"0%",M105/ABS(L105))</f>
        <v>0%</v>
      </c>
      <c r="O105" s="119" t="str">
        <f t="shared" si="16"/>
        <v/>
      </c>
    </row>
    <row r="106" spans="1:16" ht="12">
      <c r="A106" s="48" t="s">
        <v>220</v>
      </c>
      <c r="B106" s="48"/>
      <c r="C106" s="48"/>
      <c r="D106" s="48"/>
      <c r="E106" s="48"/>
      <c r="J106" s="55"/>
      <c r="K106" s="10"/>
      <c r="L106" s="3" t="str">
        <f>IF(ISNA(HLOOKUP($G$2,'Prior Year Amounts'!$K$32:$GH$253,69,FALSE)),"",(HLOOKUP($G$2,'Prior Year Amounts'!$K$32:$GH$253,69,FALSE)))</f>
        <v/>
      </c>
      <c r="M106" s="3" t="str">
        <f>IF(ISERR(K106-L106),"",(K106-L106))</f>
        <v/>
      </c>
      <c r="N106" s="119" t="str">
        <f>IF(ISERR(IF(M106=0,0,IF((AND(L106=0,K106&gt;0)),1,IF((AND(L106=0,K106&lt;0)),-1,M106/ABS(L106))))),"",(IF(M106=0,0,IF((AND(L106=0,K106&gt;0)),1,IF((AND(L106=0,K106&lt;0)),-1,M106/ABS(L106))))))</f>
        <v/>
      </c>
      <c r="O106" s="119" t="str">
        <f t="shared" si="16"/>
        <v/>
      </c>
      <c r="P106" s="235"/>
    </row>
    <row r="107" spans="1:16" ht="12">
      <c r="A107" s="48" t="s">
        <v>235</v>
      </c>
      <c r="B107" s="48"/>
      <c r="C107" s="48"/>
      <c r="D107" s="48"/>
      <c r="E107" s="48"/>
      <c r="J107" s="55"/>
      <c r="K107" s="10"/>
      <c r="L107" s="3" t="str">
        <f>IF(ISNA(HLOOKUP($G$2,'Prior Year Amounts'!$K$32:$GH$253,70,FALSE)),"",(HLOOKUP($G$2,'Prior Year Amounts'!$K$32:$GH$253,70,FALSE)))</f>
        <v/>
      </c>
      <c r="M107" s="3" t="str">
        <f>IF(ISERR(K107-L107),"",(K107-L107))</f>
        <v/>
      </c>
      <c r="N107" s="119" t="str">
        <f>IF(ISERR(IF(M107=0,0,IF((AND(L107=0,K107&gt;0)),1,IF((AND(L107=0,K107&lt;0)),-1,M107/ABS(L107))))),"",(IF(M107=0,0,IF((AND(L107=0,K107&gt;0)),1,IF((AND(L107=0,K107&lt;0)),-1,M107/ABS(L107))))))</f>
        <v/>
      </c>
      <c r="O107" s="119" t="str">
        <f t="shared" si="16"/>
        <v/>
      </c>
      <c r="P107" s="235"/>
    </row>
    <row r="108" spans="1:16" ht="12" hidden="1">
      <c r="A108" s="422" t="s">
        <v>830</v>
      </c>
      <c r="B108" s="48"/>
      <c r="C108" s="48"/>
      <c r="D108" s="48"/>
      <c r="E108" s="48"/>
      <c r="J108" s="55"/>
      <c r="L108" s="3" t="str">
        <f>IF(ISNA(HLOOKUP($G$2,'Prior Year Amounts'!$K$32:$GH$253,69,FALSE)),"",(HLOOKUP($G$2,'Prior Year Amounts'!$K$32:$GH$253,69,FALSE)))</f>
        <v/>
      </c>
      <c r="M108" s="3" t="str">
        <f>IF(ISERR(K108-L108),"",(K108-L108))</f>
        <v/>
      </c>
      <c r="N108" s="119" t="str">
        <f>IF(ISERR(IF(M108=0,0,IF((AND(L108=0,K108&gt;0)),1,IF((AND(L108=0,K108&lt;0)),-1,M108/ABS(L108))))),"",(IF(M108=0,0,IF((AND(L108=0,K108&gt;0)),1,IF((AND(L108=0,K108&lt;0)),-1,M108/ABS(L108))))))</f>
        <v/>
      </c>
      <c r="O108" s="119" t="str">
        <f t="shared" si="16"/>
        <v/>
      </c>
      <c r="P108" s="235"/>
    </row>
    <row r="109" spans="1:16" ht="12">
      <c r="A109" s="48" t="s">
        <v>186</v>
      </c>
      <c r="B109" s="48"/>
      <c r="C109" s="48"/>
      <c r="D109" s="48"/>
      <c r="E109" s="48"/>
      <c r="G109" s="1150" t="str">
        <f>IF(K109&lt;&gt;0,"Answer Required","N/A")</f>
        <v>N/A</v>
      </c>
      <c r="H109" s="1151" t="str">
        <f>IF(J109&lt;&gt;0,"Answer Required","N/A")</f>
        <v>N/A</v>
      </c>
      <c r="I109" s="1152" t="str">
        <f>IF(K109&lt;&gt;0,"Answer Required","N/A")</f>
        <v>N/A</v>
      </c>
      <c r="J109" s="55"/>
      <c r="K109" s="10"/>
      <c r="L109" s="3" t="str">
        <f>IF(ISNA(HLOOKUP($G$2,'Prior Year Amounts'!$K$32:$GH$253,72,FALSE)),"",(HLOOKUP($G$2,'Prior Year Amounts'!$K$32:$GH$253,72,FALSE)))</f>
        <v/>
      </c>
      <c r="M109" s="3" t="str">
        <f>IF(ISERR(K109-L109),"",(K109-L109))</f>
        <v/>
      </c>
      <c r="N109" s="119" t="str">
        <f>IF(ISERR(IF(M109=0,0,IF((AND(L109=0,K109&gt;0)),1,IF((AND(L109=0,K109&lt;0)),-1,M109/ABS(L109))))),"",(IF(M109=0,0,IF((AND(L109=0,K109&gt;0)),1,IF((AND(L109=0,K109&lt;0)),-1,M109/ABS(L109))))))</f>
        <v/>
      </c>
      <c r="O109" s="119" t="str">
        <f t="shared" si="16"/>
        <v/>
      </c>
      <c r="P109" s="235"/>
    </row>
    <row r="110" spans="1:16" ht="12">
      <c r="A110" s="48"/>
      <c r="B110" s="49" t="s">
        <v>223</v>
      </c>
      <c r="C110" s="48"/>
      <c r="D110" s="48"/>
      <c r="E110" s="48"/>
      <c r="J110" s="55"/>
      <c r="K110" s="8">
        <f>SUM(K106:K109)</f>
        <v>0</v>
      </c>
      <c r="L110" s="8">
        <f>SUM(L106:L109)</f>
        <v>0</v>
      </c>
      <c r="M110" s="8">
        <f>K110-L110</f>
        <v>0</v>
      </c>
      <c r="N110" s="139">
        <f>IF(M110=0,0,IF((AND(L110=0,K110&gt;0)),1,IF((AND(L110=0,K110&lt;0)),-1,M110/ABS(L110))))</f>
        <v>0</v>
      </c>
      <c r="O110" s="119"/>
    </row>
    <row r="111" spans="1:16" ht="12">
      <c r="A111" s="48"/>
      <c r="B111" s="49"/>
      <c r="C111" s="48"/>
      <c r="D111" s="48"/>
      <c r="E111" s="48"/>
      <c r="J111" s="55"/>
      <c r="L111" s="3"/>
      <c r="M111" s="3"/>
      <c r="N111" s="119"/>
      <c r="O111" s="119" t="str">
        <f t="shared" ref="O111:O117" si="17">IF(L111="","",IF(OR((ABS(M111)&gt;19800000),AND(ABS(M111)&gt;9900000,ABS(N111)&gt;0.1)),"YES","-"))</f>
        <v/>
      </c>
    </row>
    <row r="112" spans="1:16" ht="12">
      <c r="A112" s="580" t="s">
        <v>1694</v>
      </c>
      <c r="B112" s="49"/>
      <c r="C112" s="48"/>
      <c r="D112" s="48"/>
      <c r="E112" s="48"/>
      <c r="J112" s="56" t="s">
        <v>1863</v>
      </c>
      <c r="K112" s="10"/>
      <c r="L112" s="3" t="str">
        <f>IF(ISNA(HLOOKUP($G$2,'Prior Year Amounts'!$K$32:$GH$253,75,FALSE)),"",(HLOOKUP($G$2,'Prior Year Amounts'!$K$32:$GH$253,75,FALSE)))</f>
        <v/>
      </c>
      <c r="M112" s="3" t="str">
        <f>IF(ISERR(K112-L112),"",(K112-L112))</f>
        <v/>
      </c>
      <c r="N112" s="119" t="str">
        <f>IF(ISERR(IF(M112=0,0,IF((AND(L112=0,K112&gt;0)),1,IF((AND(L112=0,K112&lt;0)),-1,M112/ABS(L112))))),"",(IF(M112=0,0,IF((AND(L112=0,K112&gt;0)),1,IF((AND(L112=0,K112&lt;0)),-1,M112/ABS(L112))))))</f>
        <v/>
      </c>
      <c r="O112" s="119" t="str">
        <f t="shared" si="17"/>
        <v/>
      </c>
    </row>
    <row r="113" spans="1:16" ht="14.25" customHeight="1">
      <c r="A113" s="48"/>
      <c r="B113" s="48"/>
      <c r="C113" s="48"/>
      <c r="D113" s="48"/>
      <c r="E113" s="48"/>
      <c r="J113" s="55"/>
      <c r="L113" s="3"/>
      <c r="N113" s="119"/>
      <c r="O113" s="119" t="str">
        <f t="shared" si="17"/>
        <v/>
      </c>
    </row>
    <row r="114" spans="1:16" ht="12">
      <c r="A114" s="49" t="s">
        <v>224</v>
      </c>
      <c r="B114" s="48"/>
      <c r="C114" s="48"/>
      <c r="D114" s="48"/>
      <c r="E114" s="48"/>
      <c r="J114" s="56" t="s">
        <v>311</v>
      </c>
      <c r="K114" s="10"/>
      <c r="L114" s="3" t="str">
        <f>IF(ISNA(HLOOKUP($G$2,'Prior Year Amounts'!$K$32:$GH$253,77,FALSE)),"",(HLOOKUP($G$2,'Prior Year Amounts'!$K$32:$GH$253,77,FALSE)))</f>
        <v/>
      </c>
      <c r="M114" s="3" t="str">
        <f>IF(ISERR(K114-L114),"",(K114-L114))</f>
        <v/>
      </c>
      <c r="N114" s="119" t="str">
        <f>IF(ISERR(IF(M114=0,0,IF((AND(L114=0,K114&gt;0)),1,IF((AND(L114=0,K114&lt;0)),-1,M114/ABS(L114))))),"",(IF(M114=0,0,IF((AND(L114=0,K114&gt;0)),1,IF((AND(L114=0,K114&lt;0)),-1,M114/ABS(L114))))))</f>
        <v/>
      </c>
      <c r="O114" s="119" t="str">
        <f t="shared" si="17"/>
        <v/>
      </c>
      <c r="P114" s="235"/>
    </row>
    <row r="115" spans="1:16" ht="12">
      <c r="A115" s="48"/>
      <c r="B115" s="48"/>
      <c r="C115" s="48"/>
      <c r="D115" s="48"/>
      <c r="E115" s="48"/>
      <c r="J115" s="55"/>
      <c r="L115" s="3"/>
      <c r="M115" s="3"/>
      <c r="N115" s="119"/>
      <c r="O115" s="119" t="str">
        <f t="shared" si="17"/>
        <v/>
      </c>
    </row>
    <row r="116" spans="1:16" ht="12">
      <c r="A116" s="49" t="s">
        <v>1384</v>
      </c>
      <c r="B116" s="48"/>
      <c r="C116" s="48"/>
      <c r="D116" s="48"/>
      <c r="E116" s="48"/>
      <c r="J116" s="56" t="s">
        <v>311</v>
      </c>
      <c r="K116" s="10"/>
      <c r="L116" s="3" t="str">
        <f>IF(ISNA(HLOOKUP($G$2,'Prior Year Amounts'!$K$32:$GH$253,79,FALSE)),"",(HLOOKUP($G$2,'Prior Year Amounts'!$K$32:$GH$253,79,FALSE)))</f>
        <v/>
      </c>
      <c r="M116" s="3" t="str">
        <f>IF(ISERR(K116-L116),"",(K116-L116))</f>
        <v/>
      </c>
      <c r="N116" s="119" t="str">
        <f>IF(ISERR(IF(M116=0,0,IF((AND(L116=0,K116&gt;0)),1,IF((AND(L116=0,K116&lt;0)),-1,M116/ABS(L116))))),"",(IF(M116=0,0,IF((AND(L116=0,K116&gt;0)),1,IF((AND(L116=0,K116&lt;0)),-1,M116/ABS(L116))))))</f>
        <v/>
      </c>
      <c r="O116" s="119" t="str">
        <f t="shared" si="17"/>
        <v/>
      </c>
      <c r="P116" s="235"/>
    </row>
    <row r="117" spans="1:16" ht="12">
      <c r="A117" s="48"/>
      <c r="B117" s="48"/>
      <c r="C117" s="48"/>
      <c r="D117" s="48"/>
      <c r="E117" s="48"/>
      <c r="J117" s="55"/>
      <c r="L117" s="3"/>
      <c r="M117" s="3"/>
      <c r="N117" s="119"/>
      <c r="O117" s="119" t="str">
        <f t="shared" si="17"/>
        <v/>
      </c>
    </row>
    <row r="118" spans="1:16" ht="12">
      <c r="A118" s="47" t="s">
        <v>236</v>
      </c>
      <c r="B118" s="48"/>
      <c r="C118" s="48"/>
      <c r="D118" s="48"/>
      <c r="E118" s="48"/>
      <c r="K118" s="8">
        <f>K48+K56+K64+K68+K70+K72+K74+K81+K96+K103+K110+K114+K116+K112</f>
        <v>0</v>
      </c>
      <c r="L118" s="8" t="str">
        <f>IF(ISERR(L48+L56+L64+L68+L70+L72+L74+L81+L96+L103+L110+L112+L114+L116),"",(L48+L56+L64+L68+L70+L72+L74+L81+L96+L103+L110+L112+L114+L116))</f>
        <v/>
      </c>
      <c r="M118" s="8" t="str">
        <f>IF(ISERR(K118-L118),"",(K118-L118))</f>
        <v/>
      </c>
      <c r="N118" s="139" t="str">
        <f>IF(ISERR(IF(M118=0,0,IF((AND(L118=0,K118&gt;0)),1,IF((AND(L118=0,K118&lt;0)),-1,M118/ABS(L118))))),"",(IF(M118=0,0,IF((AND(L118=0,K118&gt;0)),1,IF((AND(L118=0,K118&lt;0)),-1,M118/ABS(L118))))))</f>
        <v/>
      </c>
      <c r="O118" s="119"/>
    </row>
    <row r="119" spans="1:16" ht="12">
      <c r="A119" s="47"/>
      <c r="B119" s="48"/>
      <c r="C119" s="48"/>
      <c r="D119" s="48"/>
      <c r="E119" s="48"/>
      <c r="L119" s="3"/>
      <c r="M119" s="3"/>
      <c r="N119" s="119"/>
      <c r="O119" s="119" t="str">
        <f t="shared" ref="O119:O121" si="18">IF(L119="","",IF(OR((ABS(M119)&gt;19800000),AND(ABS(M119)&gt;9900000,ABS(N119)&gt;0.1)),"YES","-"))</f>
        <v/>
      </c>
    </row>
    <row r="120" spans="1:16" ht="12">
      <c r="A120" s="47" t="s">
        <v>730</v>
      </c>
      <c r="B120" s="48"/>
      <c r="C120" s="48"/>
      <c r="D120" s="48"/>
      <c r="E120" s="48"/>
      <c r="J120" s="56" t="s">
        <v>831</v>
      </c>
      <c r="K120" s="10"/>
      <c r="L120" s="3" t="str">
        <f>IF(ISNA(HLOOKUP($G$2,'Prior Year Amounts'!$K$32:$GH$253,83,FALSE)),"",(HLOOKUP($G$2,'Prior Year Amounts'!$K$32:$GH$253,83,FALSE)))</f>
        <v/>
      </c>
      <c r="M120" s="3" t="str">
        <f>IF(ISERR(K120-L120),"",(K120-L120))</f>
        <v/>
      </c>
      <c r="N120" s="119" t="str">
        <f>IF(ISERR(IF(M120=0,0,IF((AND(L120=0,K120&gt;0)),1,IF((AND(L120=0,K120&lt;0)),-1,M120/ABS(L120))))),"",(IF(M120=0,0,IF((AND(L120=0,K120&gt;0)),1,IF((AND(L120=0,K120&lt;0)),-1,M120/ABS(L120))))))</f>
        <v/>
      </c>
      <c r="O120" s="119" t="str">
        <f t="shared" si="18"/>
        <v/>
      </c>
      <c r="P120" s="235"/>
    </row>
    <row r="121" spans="1:16" ht="12">
      <c r="A121" s="47"/>
      <c r="B121" s="48"/>
      <c r="C121" s="48"/>
      <c r="D121" s="48"/>
      <c r="E121" s="48"/>
      <c r="L121" s="3"/>
      <c r="M121" s="3"/>
      <c r="N121" s="119"/>
      <c r="O121" s="119" t="str">
        <f t="shared" si="18"/>
        <v/>
      </c>
    </row>
    <row r="122" spans="1:16" ht="12">
      <c r="A122" s="47" t="s">
        <v>741</v>
      </c>
      <c r="B122" s="48"/>
      <c r="C122" s="48"/>
      <c r="D122" s="48"/>
      <c r="E122" s="48"/>
      <c r="K122" s="8">
        <f>SUM(K118,K120)</f>
        <v>0</v>
      </c>
      <c r="L122" s="8">
        <f>SUM(L118,L120)</f>
        <v>0</v>
      </c>
      <c r="M122" s="8">
        <f>SUM(M118,M120)</f>
        <v>0</v>
      </c>
      <c r="N122" s="139">
        <f>IF(M122=0,0,IF((AND(L122=0,K122&gt;0)),1,IF((AND(L122=0,K122&lt;0)),-1,M122/ABS(L122))))</f>
        <v>0</v>
      </c>
      <c r="O122" s="119"/>
    </row>
    <row r="123" spans="1:16" ht="12">
      <c r="A123" s="48"/>
      <c r="B123" s="48"/>
      <c r="C123" s="48"/>
      <c r="D123" s="48"/>
      <c r="E123" s="48"/>
      <c r="M123" s="3"/>
      <c r="N123" s="119"/>
      <c r="O123" s="119"/>
    </row>
    <row r="124" spans="1:16" ht="12">
      <c r="A124" s="47" t="s">
        <v>507</v>
      </c>
      <c r="B124" s="48"/>
      <c r="C124" s="48"/>
      <c r="D124" s="48"/>
      <c r="E124" s="48"/>
      <c r="G124" s="1141" t="str">
        <f>G1</f>
        <v/>
      </c>
      <c r="H124" s="1142"/>
      <c r="I124" s="1142"/>
      <c r="J124" s="1143"/>
      <c r="M124" s="3"/>
      <c r="N124" s="119"/>
      <c r="O124" s="119"/>
    </row>
    <row r="125" spans="1:16" ht="23.25" customHeight="1">
      <c r="A125" s="47" t="s">
        <v>528</v>
      </c>
      <c r="B125" s="48"/>
      <c r="C125" s="48"/>
      <c r="D125" s="48"/>
      <c r="E125" s="48"/>
      <c r="G125" s="1144" t="str">
        <f>IF(G2="","",G2)</f>
        <v/>
      </c>
      <c r="H125" s="1145"/>
      <c r="I125" s="1145"/>
      <c r="J125" s="1146"/>
      <c r="M125" s="3"/>
      <c r="N125" s="119"/>
      <c r="O125" s="119"/>
    </row>
    <row r="126" spans="1:16" ht="6.75" customHeight="1">
      <c r="A126" s="48"/>
      <c r="B126" s="48"/>
      <c r="C126" s="48"/>
      <c r="D126" s="48"/>
      <c r="E126" s="48"/>
      <c r="M126" s="3"/>
      <c r="N126" s="119"/>
      <c r="O126" s="119"/>
    </row>
    <row r="127" spans="1:16" ht="15.75" customHeight="1">
      <c r="A127" s="46" t="s">
        <v>729</v>
      </c>
      <c r="B127" s="48"/>
      <c r="C127" s="48"/>
      <c r="D127" s="48"/>
      <c r="E127" s="48"/>
      <c r="M127" s="3"/>
      <c r="N127" s="119"/>
      <c r="O127" s="1138" t="s">
        <v>937</v>
      </c>
    </row>
    <row r="128" spans="1:16" ht="15.75">
      <c r="A128" s="46" t="str">
        <f>A35</f>
        <v>For the Year Ended June 30, 2024</v>
      </c>
      <c r="B128" s="48"/>
      <c r="C128" s="48"/>
      <c r="D128" s="48"/>
      <c r="E128" s="48"/>
      <c r="M128" s="3"/>
      <c r="N128" s="119"/>
      <c r="O128" s="1139"/>
    </row>
    <row r="129" spans="1:16" ht="12" customHeight="1">
      <c r="A129" s="48"/>
      <c r="B129" s="48"/>
      <c r="C129" s="48"/>
      <c r="D129" s="48"/>
      <c r="E129" s="48"/>
      <c r="J129" s="42" t="s">
        <v>468</v>
      </c>
      <c r="K129" s="43"/>
      <c r="M129" s="3"/>
      <c r="N129" s="119"/>
      <c r="O129" s="1139"/>
      <c r="P129" s="418" t="s">
        <v>749</v>
      </c>
    </row>
    <row r="130" spans="1:16" ht="13.5" thickBot="1">
      <c r="A130" s="355"/>
      <c r="B130" s="240"/>
      <c r="C130" s="240"/>
      <c r="D130" s="240"/>
      <c r="E130" s="240"/>
      <c r="F130" s="116"/>
      <c r="G130" s="1149" t="s">
        <v>274</v>
      </c>
      <c r="H130" s="1149"/>
      <c r="I130" s="1148"/>
      <c r="J130" s="401" t="s">
        <v>615</v>
      </c>
      <c r="K130" s="44" t="str">
        <f>K37</f>
        <v>Amount</v>
      </c>
      <c r="L130" s="44" t="str">
        <f>L37</f>
        <v>Prior Year</v>
      </c>
      <c r="M130" s="44" t="str">
        <f>M37</f>
        <v>Variance $</v>
      </c>
      <c r="N130" s="44" t="str">
        <f>N37</f>
        <v>Variance %</v>
      </c>
      <c r="O130" s="1140"/>
      <c r="P130" s="419" t="s">
        <v>750</v>
      </c>
    </row>
    <row r="131" spans="1:16" ht="12">
      <c r="A131" s="47" t="s">
        <v>742</v>
      </c>
      <c r="B131" s="48"/>
      <c r="C131" s="48"/>
      <c r="D131" s="48"/>
      <c r="E131" s="48"/>
      <c r="M131" s="3"/>
      <c r="N131" s="119"/>
      <c r="O131" s="119"/>
    </row>
    <row r="132" spans="1:16" ht="12">
      <c r="A132" s="47" t="s">
        <v>238</v>
      </c>
      <c r="B132" s="48"/>
      <c r="C132" s="48"/>
      <c r="D132" s="48"/>
      <c r="E132" s="48"/>
      <c r="M132" s="3"/>
      <c r="N132" s="119"/>
      <c r="O132" s="119"/>
    </row>
    <row r="133" spans="1:16" ht="12">
      <c r="A133" s="48" t="s">
        <v>612</v>
      </c>
      <c r="B133" s="48"/>
      <c r="C133" s="48"/>
      <c r="D133" s="48"/>
      <c r="E133" s="48"/>
      <c r="K133" s="10"/>
      <c r="L133" s="3" t="str">
        <f>IF(ISNA(HLOOKUP($G$2,'Prior Year Amounts'!$K$32:$GH$253,95,FALSE)),"",(HLOOKUP($G$2,'Prior Year Amounts'!$K$32:$GH$253,95,FALSE)))</f>
        <v/>
      </c>
      <c r="M133" s="3" t="str">
        <f>IF(ISERR(K133-L133),"",(K133-L133))</f>
        <v/>
      </c>
      <c r="N133" s="119" t="str">
        <f>IF(ISERR(IF(M133=0,0,IF((AND(L133=0,K133&gt;0)),1,IF((AND(L133=0,K133&lt;0)),-1,M133/ABS(L133))))),"",(IF(M133=0,0,IF((AND(L133=0,K133&gt;0)),1,IF((AND(L133=0,K133&lt;0)),-1,M133/ABS(L133))))))</f>
        <v/>
      </c>
      <c r="O133" s="119" t="str">
        <f t="shared" ref="O133:O136" si="19">IF(L133="","",IF(OR((ABS(M133)&gt;19800000),AND(ABS(M133)&gt;9900000,ABS(N133)&gt;0.1)),"YES","-"))</f>
        <v/>
      </c>
      <c r="P133" s="235"/>
    </row>
    <row r="134" spans="1:16" ht="12">
      <c r="A134" s="48" t="s">
        <v>74</v>
      </c>
      <c r="B134" s="48"/>
      <c r="C134" s="48"/>
      <c r="D134" s="48"/>
      <c r="E134" s="48"/>
      <c r="K134" s="10"/>
      <c r="L134" s="3" t="str">
        <f>IF(ISNA(HLOOKUP($G$2,'Prior Year Amounts'!$K$32:$GH$253,96,FALSE)),"",(HLOOKUP($G$2,'Prior Year Amounts'!$K$32:$GH$253,96,FALSE)))</f>
        <v/>
      </c>
      <c r="M134" s="3" t="str">
        <f>IF(ISERR(K134-L134),"",(K134-L134))</f>
        <v/>
      </c>
      <c r="N134" s="119" t="str">
        <f>IF(ISERR(IF(M134=0,0,IF((AND(L134=0,K134&gt;0)),1,IF((AND(L134=0,K134&lt;0)),-1,M134/ABS(L134))))),"",(IF(M134=0,0,IF((AND(L134=0,K134&gt;0)),1,IF((AND(L134=0,K134&lt;0)),-1,M134/ABS(L134))))))</f>
        <v/>
      </c>
      <c r="O134" s="119" t="str">
        <f t="shared" si="19"/>
        <v/>
      </c>
      <c r="P134" s="235"/>
    </row>
    <row r="135" spans="1:16" ht="12">
      <c r="A135" s="48" t="s">
        <v>538</v>
      </c>
      <c r="B135" s="48"/>
      <c r="C135" s="48"/>
      <c r="D135" s="48"/>
      <c r="E135" s="48"/>
      <c r="K135" s="10"/>
      <c r="L135" s="3" t="str">
        <f>IF(ISNA(HLOOKUP($G$2,'Prior Year Amounts'!$K$32:$GH$253,97,FALSE)),"",(HLOOKUP($G$2,'Prior Year Amounts'!$K$32:$GH$253,97,FALSE)))</f>
        <v/>
      </c>
      <c r="M135" s="3" t="str">
        <f>IF(ISERR(K135-L135),"",(K135-L135))</f>
        <v/>
      </c>
      <c r="N135" s="119" t="str">
        <f>IF(ISERR(IF(M135=0,0,IF((AND(L135=0,K135&gt;0)),1,IF((AND(L135=0,K135&lt;0)),-1,M135/ABS(L135))))),"",(IF(M135=0,0,IF((AND(L135=0,K135&gt;0)),1,IF((AND(L135=0,K135&lt;0)),-1,M135/ABS(L135))))))</f>
        <v/>
      </c>
      <c r="O135" s="119" t="str">
        <f t="shared" si="19"/>
        <v/>
      </c>
      <c r="P135" s="235"/>
    </row>
    <row r="136" spans="1:16" ht="12">
      <c r="A136" s="51" t="s">
        <v>1078</v>
      </c>
      <c r="B136" s="48"/>
      <c r="C136" s="48"/>
      <c r="D136" s="48"/>
      <c r="E136" s="48"/>
      <c r="F136" s="156"/>
      <c r="G136" s="1150" t="str">
        <f>IF(K136&lt;&gt;0,"Answer Required","N/A")</f>
        <v>N/A</v>
      </c>
      <c r="H136" s="1151" t="str">
        <f>IF(J136&lt;&gt;0,"Answer Required","N/A")</f>
        <v>N/A</v>
      </c>
      <c r="I136" s="1152" t="str">
        <f>IF(K136&lt;&gt;0,"Answer Required","N/A")</f>
        <v>N/A</v>
      </c>
      <c r="K136" s="45"/>
      <c r="L136" s="3" t="str">
        <f>IF(ISNA(HLOOKUP($G$2,'Prior Year Amounts'!$K$32:$GH$253,98,FALSE)),"",(HLOOKUP($G$2,'Prior Year Amounts'!$K$32:$GH$253,98,FALSE)))</f>
        <v/>
      </c>
      <c r="M136" s="3" t="str">
        <f>IF(ISERR(K136-L136),"",(K136-L136))</f>
        <v/>
      </c>
      <c r="N136" s="119" t="str">
        <f>IF(ISERR(IF(M136=0,0,IF((AND(L136=0,K136&gt;0)),1,IF((AND(L136=0,K136&lt;0)),-1,M136/ABS(L136))))),"",(IF(M136=0,0,IF((AND(L136=0,K136&gt;0)),1,IF((AND(L136=0,K136&lt;0)),-1,M136/ABS(L136))))))</f>
        <v/>
      </c>
      <c r="O136" s="119" t="str">
        <f t="shared" si="19"/>
        <v/>
      </c>
      <c r="P136" s="235"/>
    </row>
    <row r="137" spans="1:16" ht="12">
      <c r="A137" s="48"/>
      <c r="B137" s="49" t="s">
        <v>239</v>
      </c>
      <c r="C137" s="48"/>
      <c r="D137" s="48"/>
      <c r="E137" s="48"/>
      <c r="J137" s="56"/>
      <c r="K137" s="8">
        <f>SUM(K133:K136)</f>
        <v>0</v>
      </c>
      <c r="L137" s="8">
        <f>SUM(L133:L136)</f>
        <v>0</v>
      </c>
      <c r="M137" s="8">
        <f>K137-L137</f>
        <v>0</v>
      </c>
      <c r="N137" s="139">
        <f>IF(ISERR(IF(M137=0,0,IF((AND(L137=0,K137&gt;0)),1,IF((AND(L137=0,K137&lt;0)),-1,M137/ABS(L137))))),"",(IF(M137=0,0,IF((AND(L137=0,K137&gt;0)),1,IF((AND(L137=0,K137&lt;0)),-1,M137/ABS(L137))))))</f>
        <v>0</v>
      </c>
      <c r="O137" s="119"/>
    </row>
    <row r="138" spans="1:16" ht="12">
      <c r="A138" s="48"/>
      <c r="B138" s="49"/>
      <c r="C138" s="48"/>
      <c r="D138" s="48"/>
      <c r="E138" s="48"/>
      <c r="J138" s="56"/>
      <c r="L138" s="3"/>
      <c r="M138" s="3"/>
      <c r="N138" s="119"/>
      <c r="O138" s="119" t="str">
        <f t="shared" ref="O138:O152" si="20">IF(L138="","",IF(OR((ABS(M138)&gt;19800000),AND(ABS(M138)&gt;9900000,ABS(N138)&gt;0.1)),"YES","-"))</f>
        <v/>
      </c>
    </row>
    <row r="139" spans="1:16" ht="12">
      <c r="A139" s="48" t="s">
        <v>1638</v>
      </c>
      <c r="B139" s="48"/>
      <c r="C139" s="48"/>
      <c r="D139" s="48"/>
      <c r="E139" s="48"/>
      <c r="G139" s="1178"/>
      <c r="H139" s="1178"/>
      <c r="I139" s="1178"/>
      <c r="J139" s="55"/>
      <c r="K139" s="45"/>
      <c r="L139" s="3" t="str">
        <f>IF(ISNA(HLOOKUP($G$2,'Prior Year Amounts'!$K$32:$GH$253,101,FALSE)),"",(HLOOKUP($G$2,'Prior Year Amounts'!$K$32:$GH$253,101,FALSE)))</f>
        <v/>
      </c>
      <c r="M139" s="3" t="str">
        <f>IF(ISERR(K139-L139),"",(K139-L139))</f>
        <v/>
      </c>
      <c r="N139" s="119" t="str">
        <f>IF(ISERR(IF(M139=0,0,IF((AND(L139=0,K139&gt;0)),1,IF((AND(L139=0,K139&lt;0)),-1,M139/ABS(L139))))),"",(IF(M139=0,0,IF((AND(L139=0,K139&gt;0)),1,IF((AND(L139=0,K139&lt;0)),-1,M139/ABS(L139))))))</f>
        <v/>
      </c>
      <c r="O139" s="119" t="str">
        <f t="shared" si="20"/>
        <v/>
      </c>
      <c r="P139" s="235"/>
    </row>
    <row r="140" spans="1:16" ht="12">
      <c r="A140" s="49" t="s">
        <v>1055</v>
      </c>
      <c r="B140" s="52"/>
      <c r="C140" s="48"/>
      <c r="D140" s="48"/>
      <c r="E140" s="48"/>
      <c r="F140" s="156"/>
      <c r="G140" s="1150" t="str">
        <f>IF(K140&lt;&gt;0,"Answer Required","N/A")</f>
        <v>N/A</v>
      </c>
      <c r="H140" s="1151" t="str">
        <f>IF(J140&lt;&gt;0,"Answer Required","N/A")</f>
        <v>Answer Required</v>
      </c>
      <c r="I140" s="1152" t="str">
        <f>IF(K140&lt;&gt;0,"Answer Required","N/A")</f>
        <v>N/A</v>
      </c>
      <c r="J140" s="56" t="s">
        <v>1864</v>
      </c>
      <c r="K140" s="45"/>
      <c r="L140" s="3" t="str">
        <f>IF(ISNA(HLOOKUP($G$2,'Prior Year Amounts'!$K$32:$GH$253,102,FALSE)),"",(HLOOKUP($G$2,'Prior Year Amounts'!$K$32:$GH$253,102,FALSE)))</f>
        <v/>
      </c>
      <c r="M140" s="3" t="str">
        <f>IF(ISERR(K140-L140),"",(K140-L140))</f>
        <v/>
      </c>
      <c r="N140" s="119" t="str">
        <f>IF(ISERR(IF(M140=0,0,IF((AND(L140=0,K140&gt;0)),1,IF((AND(L140=0,K140&lt;0)),-1,M140/ABS(L140))))),"",(IF(M140=0,0,IF((AND(L140=0,K140&gt;0)),1,IF((AND(L140=0,K140&lt;0)),-1,M140/ABS(L140))))))</f>
        <v/>
      </c>
      <c r="O140" s="119" t="str">
        <f t="shared" si="20"/>
        <v/>
      </c>
      <c r="P140" s="235"/>
    </row>
    <row r="141" spans="1:16" ht="12">
      <c r="A141" s="49" t="s">
        <v>1403</v>
      </c>
      <c r="B141" s="48"/>
      <c r="C141" s="48"/>
      <c r="D141" s="48"/>
      <c r="E141" s="48"/>
      <c r="G141" s="1150" t="str">
        <f t="shared" ref="G141:G142" si="21">IF(K141&lt;&gt;0,"Answer Required","N/A")</f>
        <v>N/A</v>
      </c>
      <c r="H141" s="1151" t="str">
        <f t="shared" ref="H141:H142" si="22">IF(J141&lt;&gt;0,"Answer Required","N/A")</f>
        <v>Answer Required</v>
      </c>
      <c r="I141" s="1152" t="str">
        <f t="shared" ref="I141:I142" si="23">IF(K141&lt;&gt;0,"Answer Required","N/A")</f>
        <v>N/A</v>
      </c>
      <c r="J141" s="56" t="s">
        <v>1864</v>
      </c>
      <c r="K141" s="45"/>
      <c r="L141" s="3" t="str">
        <f>IF(ISNA(HLOOKUP($G$2,'Prior Year Amounts'!$K$32:$GH$253,103,FALSE)),"",(HLOOKUP($G$2,'Prior Year Amounts'!$K$32:$GH$253,103,FALSE)))</f>
        <v/>
      </c>
      <c r="M141" s="3" t="str">
        <f>IF(ISERR(K141-L141),"",(K141-L141))</f>
        <v/>
      </c>
      <c r="N141" s="119" t="str">
        <f>IF(ISERR(IF(M141=0,0,IF((AND(L141=0,K141&gt;0)),1,IF((AND(L141=0,K141&lt;0)),-1,M141/ABS(L141))))),"",(IF(M141=0,0,IF((AND(L141=0,K141&gt;0)),1,IF((AND(L141=0,K141&lt;0)),-1,M141/ABS(L141))))))</f>
        <v/>
      </c>
      <c r="O141" s="119" t="str">
        <f t="shared" si="20"/>
        <v/>
      </c>
      <c r="P141" s="235"/>
    </row>
    <row r="142" spans="1:16" ht="12">
      <c r="A142" s="49" t="s">
        <v>938</v>
      </c>
      <c r="B142" s="48"/>
      <c r="C142" s="48"/>
      <c r="D142" s="48"/>
      <c r="E142" s="48"/>
      <c r="G142" s="1150" t="str">
        <f t="shared" si="21"/>
        <v>N/A</v>
      </c>
      <c r="H142" s="1151" t="str">
        <f t="shared" si="22"/>
        <v>Answer Required</v>
      </c>
      <c r="I142" s="1152" t="str">
        <f t="shared" si="23"/>
        <v>N/A</v>
      </c>
      <c r="J142" s="56" t="s">
        <v>1864</v>
      </c>
      <c r="K142" s="45"/>
      <c r="L142" s="3" t="str">
        <f>IF(ISNA(HLOOKUP($G$2,'Prior Year Amounts'!$K$32:$GH$253,104,FALSE)),"",(HLOOKUP($G$2,'Prior Year Amounts'!$K$32:$GH$253,104,FALSE)))</f>
        <v/>
      </c>
      <c r="M142" s="3" t="str">
        <f>IF(ISERR(K142-L142),"",(K142-L142))</f>
        <v/>
      </c>
      <c r="N142" s="119" t="str">
        <f>IF(ISERR(IF(M142=0,0,IF((AND(L142=0,K142&gt;0)),1,IF((AND(L142=0,K142&lt;0)),-1,M142/ABS(L142))))),"",(IF(M142=0,0,IF((AND(L142=0,K142&gt;0)),1,IF((AND(L142=0,K142&lt;0)),-1,M142/ABS(L142))))))</f>
        <v/>
      </c>
      <c r="O142" s="119" t="str">
        <f t="shared" si="20"/>
        <v/>
      </c>
      <c r="P142" s="235"/>
    </row>
    <row r="143" spans="1:16" ht="12">
      <c r="A143" s="48" t="s">
        <v>69</v>
      </c>
      <c r="B143" s="48"/>
      <c r="C143" s="48"/>
      <c r="D143" s="48"/>
      <c r="E143" s="48"/>
      <c r="K143" s="10"/>
      <c r="L143" s="3" t="str">
        <f>IF(ISNA(HLOOKUP($G$2,'Prior Year Amounts'!$K$32:$GH$253,105,FALSE)),"",(HLOOKUP($G$2,'Prior Year Amounts'!$K$32:$GH$253,105,FALSE)))</f>
        <v/>
      </c>
      <c r="M143" s="3" t="str">
        <f>IF(ISERR(K143-L143),"",(K143-L143))</f>
        <v/>
      </c>
      <c r="N143" s="119" t="str">
        <f>IF(ISERR(IF(M143=0,0,IF((AND(L143=0,K143&gt;0)),1,IF((AND(L143=0,K143&lt;0)),-1,M143/ABS(L143))))),"",(IF(M143=0,0,IF((AND(L143=0,K143&gt;0)),1,IF((AND(L143=0,K143&lt;0)),-1,M143/ABS(L143))))))</f>
        <v/>
      </c>
      <c r="O143" s="119" t="str">
        <f t="shared" si="20"/>
        <v/>
      </c>
      <c r="P143" s="235"/>
    </row>
    <row r="144" spans="1:16" ht="12">
      <c r="A144" s="48"/>
      <c r="B144" s="48"/>
      <c r="C144" s="48"/>
      <c r="D144" s="48"/>
      <c r="E144" s="48"/>
      <c r="J144" s="55"/>
      <c r="L144" s="3"/>
      <c r="M144" s="3"/>
      <c r="N144" s="119"/>
      <c r="O144" s="119" t="str">
        <f t="shared" si="20"/>
        <v/>
      </c>
    </row>
    <row r="145" spans="1:16" ht="12">
      <c r="A145" s="49" t="s">
        <v>225</v>
      </c>
      <c r="B145" s="48"/>
      <c r="C145" s="48"/>
      <c r="D145" s="48"/>
      <c r="E145" s="48"/>
      <c r="J145" s="55"/>
      <c r="K145" s="10"/>
      <c r="L145" s="3" t="str">
        <f>IF(ISNA(HLOOKUP($G$2,'Prior Year Amounts'!$K$32:$GH$253,106,FALSE)),"",(HLOOKUP($G$2,'Prior Year Amounts'!$K$32:$GH$253,106,FALSE)))</f>
        <v/>
      </c>
      <c r="M145" s="3" t="str">
        <f>IF(ISERR(K145-L145),"",(K145-L145))</f>
        <v/>
      </c>
      <c r="N145" s="119" t="str">
        <f>IF(ISERR(IF(M145=0,0,IF((AND(L145=0,K145&gt;0)),1,IF((AND(L145=0,K145&lt;0)),-1,M145/ABS(L145))))),"",(IF(M145=0,0,IF((AND(L145=0,K145&gt;0)),1,IF((AND(L145=0,K145&lt;0)),-1,M145/ABS(L145))))))</f>
        <v/>
      </c>
      <c r="O145" s="119" t="str">
        <f t="shared" si="20"/>
        <v/>
      </c>
      <c r="P145" s="235"/>
    </row>
    <row r="146" spans="1:16" ht="12" hidden="1">
      <c r="A146" s="48"/>
      <c r="B146" s="48"/>
      <c r="C146" s="48"/>
      <c r="D146" s="48"/>
      <c r="E146" s="48"/>
      <c r="J146" s="55"/>
      <c r="L146" s="3" t="str">
        <f>IF(ISNA(HLOOKUP($G$2,'Prior Year Amounts'!$K$32:$GH$253,98,FALSE)),"",(HLOOKUP($G$2,'Prior Year Amounts'!$K$32:$GH$253,98,FALSE)))</f>
        <v/>
      </c>
      <c r="M146" s="3" t="e">
        <f>K146-L146</f>
        <v>#VALUE!</v>
      </c>
      <c r="N146" s="119" t="e">
        <f>IF(M146=0,"0%",M146/ABS(L146))</f>
        <v>#VALUE!</v>
      </c>
      <c r="O146" s="119" t="str">
        <f t="shared" si="20"/>
        <v/>
      </c>
    </row>
    <row r="147" spans="1:16" ht="12">
      <c r="A147" s="48"/>
      <c r="B147" s="48"/>
      <c r="C147" s="48"/>
      <c r="D147" s="48"/>
      <c r="E147" s="48"/>
      <c r="J147" s="55"/>
      <c r="L147" s="3"/>
      <c r="M147" s="3"/>
      <c r="N147" s="119"/>
      <c r="O147" s="119" t="str">
        <f t="shared" si="20"/>
        <v/>
      </c>
    </row>
    <row r="148" spans="1:16" ht="12">
      <c r="A148" s="48" t="s">
        <v>241</v>
      </c>
      <c r="B148" s="48"/>
      <c r="C148" s="48"/>
      <c r="D148" s="48"/>
      <c r="E148" s="48"/>
      <c r="J148" s="55"/>
      <c r="K148" s="10"/>
      <c r="L148" s="3" t="str">
        <f>IF(ISNA(HLOOKUP($G$2,'Prior Year Amounts'!$K$32:$GH$253,109,FALSE)),"",(HLOOKUP($G$2,'Prior Year Amounts'!$K$32:$GH$253,109,FALSE)))</f>
        <v/>
      </c>
      <c r="M148" s="3" t="str">
        <f>IF(ISERR(K148-L148),"",(K148-L148))</f>
        <v/>
      </c>
      <c r="N148" s="119" t="str">
        <f t="shared" ref="N148:N155" si="24">IF(ISERR(IF(M148=0,0,IF((AND(L148=0,K148&gt;0)),1,IF((AND(L148=0,K148&lt;0)),-1,M148/ABS(L148))))),"",(IF(M148=0,0,IF((AND(L148=0,K148&gt;0)),1,IF((AND(L148=0,K148&lt;0)),-1,M148/ABS(L148))))))</f>
        <v/>
      </c>
      <c r="O148" s="119" t="str">
        <f t="shared" si="20"/>
        <v/>
      </c>
      <c r="P148" s="235"/>
    </row>
    <row r="149" spans="1:16" ht="12">
      <c r="A149" s="48" t="s">
        <v>187</v>
      </c>
      <c r="B149" s="48"/>
      <c r="C149" s="48"/>
      <c r="D149" s="48"/>
      <c r="E149" s="48"/>
      <c r="G149" s="1150" t="str">
        <f t="shared" ref="G149" si="25">IF(K149&lt;&gt;0,"Answer Required","N/A")</f>
        <v>N/A</v>
      </c>
      <c r="H149" s="1151" t="str">
        <f t="shared" ref="H149" si="26">IF(J149&lt;&gt;0,"Answer Required","N/A")</f>
        <v>N/A</v>
      </c>
      <c r="I149" s="1152" t="str">
        <f t="shared" ref="I149" si="27">IF(K149&lt;&gt;0,"Answer Required","N/A")</f>
        <v>N/A</v>
      </c>
      <c r="J149" s="55"/>
      <c r="K149" s="10"/>
      <c r="L149" s="3" t="str">
        <f>IF(ISNA(HLOOKUP($G$2,'Prior Year Amounts'!$K$32:$GH$253,110,FALSE)),"",(HLOOKUP($G$2,'Prior Year Amounts'!$K$32:$GH$253,110,FALSE)))</f>
        <v/>
      </c>
      <c r="M149" s="3" t="str">
        <f>IF(ISERR(K149-L149),"",(K149-L149))</f>
        <v/>
      </c>
      <c r="N149" s="119" t="str">
        <f t="shared" si="24"/>
        <v/>
      </c>
      <c r="O149" s="119" t="str">
        <f t="shared" si="20"/>
        <v/>
      </c>
      <c r="P149" s="235"/>
    </row>
    <row r="150" spans="1:16" ht="12">
      <c r="A150" s="48" t="s">
        <v>204</v>
      </c>
      <c r="B150" s="48"/>
      <c r="C150" s="48"/>
      <c r="D150" s="48"/>
      <c r="E150" s="48"/>
      <c r="J150" s="55"/>
      <c r="K150" s="10"/>
      <c r="L150" s="3" t="str">
        <f>IF(ISNA(HLOOKUP($G$2,'Prior Year Amounts'!$K$32:$GH$253,111,FALSE)),"",(HLOOKUP($G$2,'Prior Year Amounts'!$K$32:$GH$253,111,FALSE)))</f>
        <v/>
      </c>
      <c r="M150" s="3" t="str">
        <f>IF(ISERR(K150-L150),"",(K150-L150))</f>
        <v/>
      </c>
      <c r="N150" s="119" t="str">
        <f t="shared" si="24"/>
        <v/>
      </c>
      <c r="O150" s="119" t="str">
        <f t="shared" si="20"/>
        <v/>
      </c>
      <c r="P150" s="235"/>
    </row>
    <row r="151" spans="1:16" ht="12">
      <c r="A151" s="48" t="s">
        <v>76</v>
      </c>
      <c r="B151" s="48"/>
      <c r="C151" s="48"/>
      <c r="D151" s="48"/>
      <c r="E151" s="48"/>
      <c r="J151" s="56" t="s">
        <v>995</v>
      </c>
      <c r="K151" s="10"/>
      <c r="L151" s="3" t="str">
        <f>IF(ISNA(HLOOKUP($G$2,'Prior Year Amounts'!$K$32:$GH$253,112,FALSE)),"",(HLOOKUP($G$2,'Prior Year Amounts'!$K$32:$GH$253,112,FALSE)))</f>
        <v/>
      </c>
      <c r="M151" s="3" t="str">
        <f>IF(ISERR(K151-L151),"",(K151-L151))</f>
        <v/>
      </c>
      <c r="N151" s="119" t="str">
        <f t="shared" si="24"/>
        <v/>
      </c>
      <c r="O151" s="119" t="str">
        <f t="shared" si="20"/>
        <v/>
      </c>
      <c r="P151" s="235"/>
    </row>
    <row r="152" spans="1:16" ht="12">
      <c r="A152" s="48" t="s">
        <v>243</v>
      </c>
      <c r="B152" s="48"/>
      <c r="C152" s="48"/>
      <c r="D152" s="48"/>
      <c r="E152" s="48"/>
      <c r="J152" s="55"/>
      <c r="K152" s="45"/>
      <c r="L152" s="3" t="str">
        <f>IF(ISNA(HLOOKUP($G$2,'Prior Year Amounts'!$K$32:$GH$253,113,FALSE)),"",(HLOOKUP($G$2,'Prior Year Amounts'!$K$32:$GH$253,113,FALSE)))</f>
        <v/>
      </c>
      <c r="M152" s="3" t="str">
        <f>IF(ISERR(K152-L152),"",(K152-L152))</f>
        <v/>
      </c>
      <c r="N152" s="119" t="str">
        <f t="shared" si="24"/>
        <v/>
      </c>
      <c r="O152" s="119" t="str">
        <f t="shared" si="20"/>
        <v/>
      </c>
      <c r="P152" s="235"/>
    </row>
    <row r="153" spans="1:16" ht="12">
      <c r="A153" s="49"/>
      <c r="B153" s="49" t="s">
        <v>64</v>
      </c>
      <c r="C153" s="48"/>
      <c r="D153" s="48"/>
      <c r="E153" s="48"/>
      <c r="J153" s="56"/>
      <c r="K153" s="8">
        <f>SUM(K148:K152)</f>
        <v>0</v>
      </c>
      <c r="L153" s="8">
        <f>SUM(L148:L152)</f>
        <v>0</v>
      </c>
      <c r="M153" s="8">
        <f>K153-L153</f>
        <v>0</v>
      </c>
      <c r="N153" s="139">
        <f t="shared" si="24"/>
        <v>0</v>
      </c>
      <c r="O153" s="119"/>
    </row>
    <row r="154" spans="1:16" ht="12">
      <c r="A154" s="48"/>
      <c r="B154" s="48"/>
      <c r="C154" s="48"/>
      <c r="D154" s="48"/>
      <c r="E154" s="48"/>
      <c r="J154" s="55"/>
      <c r="L154" s="3"/>
      <c r="M154" s="3"/>
      <c r="N154" s="119"/>
      <c r="O154" s="119"/>
    </row>
    <row r="155" spans="1:16" ht="12">
      <c r="A155" s="49" t="s">
        <v>226</v>
      </c>
      <c r="B155" s="48"/>
      <c r="C155" s="48"/>
      <c r="D155" s="48"/>
      <c r="E155" s="48"/>
      <c r="J155" s="55"/>
      <c r="K155" s="10"/>
      <c r="L155" s="3" t="str">
        <f>IF(ISNA(HLOOKUP($G$2,'Prior Year Amounts'!$K$32:$GH$253,116,FALSE)),"",(HLOOKUP($G$2,'Prior Year Amounts'!$K$32:$GH$253,116,FALSE)))</f>
        <v/>
      </c>
      <c r="M155" s="3" t="str">
        <f>IF(ISERR(K155-L155),"",(K155-L155))</f>
        <v/>
      </c>
      <c r="N155" s="119" t="str">
        <f t="shared" si="24"/>
        <v/>
      </c>
      <c r="O155" s="119" t="str">
        <f t="shared" ref="O155" si="28">IF(L155="","",IF(OR((ABS(M155)&gt;19800000),AND(ABS(M155)&gt;9900000,ABS(N155)&gt;0.1)),"YES","-"))</f>
        <v/>
      </c>
      <c r="P155" s="235"/>
    </row>
    <row r="156" spans="1:16" ht="12">
      <c r="A156" s="48"/>
      <c r="B156" s="48"/>
      <c r="C156" s="48"/>
      <c r="D156" s="48"/>
      <c r="E156" s="48"/>
      <c r="J156" s="55"/>
      <c r="L156" s="3"/>
      <c r="M156" s="3"/>
      <c r="N156" s="119"/>
      <c r="O156" s="119"/>
    </row>
    <row r="157" spans="1:16" ht="12" hidden="1">
      <c r="A157" s="48"/>
      <c r="B157" s="48"/>
      <c r="C157" s="48"/>
      <c r="D157" s="48"/>
      <c r="E157" s="48"/>
      <c r="J157" s="55"/>
      <c r="L157" s="3"/>
      <c r="M157" s="3">
        <f>K157-L157</f>
        <v>0</v>
      </c>
      <c r="N157" s="119" t="str">
        <f>IF(M157=0,"0%",M157/ABS(L157))</f>
        <v>0%</v>
      </c>
      <c r="O157" s="119"/>
    </row>
    <row r="158" spans="1:16" ht="12">
      <c r="A158" s="53" t="s">
        <v>158</v>
      </c>
      <c r="B158" s="48"/>
      <c r="C158" s="48"/>
      <c r="D158" s="48"/>
      <c r="E158" s="48"/>
      <c r="J158" s="56" t="s">
        <v>77</v>
      </c>
      <c r="K158" s="10"/>
      <c r="L158" s="3" t="str">
        <f>IF(ISNA(HLOOKUP($G$2,'Prior Year Amounts'!$K$32:$GH$253,119,FALSE)),"",(HLOOKUP($G$2,'Prior Year Amounts'!$K$32:$GH$253,119,FALSE)))</f>
        <v/>
      </c>
      <c r="M158" s="3" t="str">
        <f t="shared" ref="M158:M170" si="29">IF(ISERR(K158-L158),"",(K158-L158))</f>
        <v/>
      </c>
      <c r="N158" s="119" t="str">
        <f t="shared" ref="N158:N170" si="30">IF(ISERR(IF(M158=0,0,IF((AND(L158=0,K158&gt;0)),1,IF((AND(L158=0,K158&lt;0)),-1,M158/ABS(L158))))),"",(IF(M158=0,0,IF((AND(L158=0,K158&gt;0)),1,IF((AND(L158=0,K158&lt;0)),-1,M158/ABS(L158))))))</f>
        <v/>
      </c>
      <c r="O158" s="119" t="str">
        <f t="shared" ref="O158:O170" si="31">IF(L158="","",IF(OR((ABS(M158)&gt;19800000),AND(ABS(M158)&gt;9900000,ABS(N158)&gt;0.1)),"YES","-"))</f>
        <v/>
      </c>
      <c r="P158" s="235"/>
    </row>
    <row r="159" spans="1:16" ht="12">
      <c r="A159" s="54" t="s">
        <v>1386</v>
      </c>
      <c r="B159" s="48"/>
      <c r="C159" s="48"/>
      <c r="D159" s="48"/>
      <c r="E159" s="48"/>
      <c r="J159" s="56" t="s">
        <v>78</v>
      </c>
      <c r="K159" s="10"/>
      <c r="L159" s="3" t="str">
        <f>IF(ISNA(HLOOKUP($G$2,'Prior Year Amounts'!$K$32:$GH$253,120,FALSE)),"",(HLOOKUP($G$2,'Prior Year Amounts'!$K$32:$GH$253,120,FALSE)))</f>
        <v/>
      </c>
      <c r="M159" s="3" t="str">
        <f t="shared" si="29"/>
        <v/>
      </c>
      <c r="N159" s="119" t="str">
        <f t="shared" si="30"/>
        <v/>
      </c>
      <c r="O159" s="119" t="str">
        <f t="shared" si="31"/>
        <v/>
      </c>
      <c r="P159" s="235"/>
    </row>
    <row r="160" spans="1:16" ht="12">
      <c r="A160" s="54" t="s">
        <v>1667</v>
      </c>
      <c r="B160" s="48"/>
      <c r="C160" s="48"/>
      <c r="D160" s="48"/>
      <c r="E160" s="48"/>
      <c r="J160" s="56" t="s">
        <v>79</v>
      </c>
      <c r="K160" s="10"/>
      <c r="L160" s="3" t="str">
        <f>IF(ISNA(HLOOKUP($G$2,'Prior Year Amounts'!$K$32:$GH$253,121,FALSE)),"",(HLOOKUP($G$2,'Prior Year Amounts'!$K$32:$GH$253,121,FALSE)))</f>
        <v/>
      </c>
      <c r="M160" s="3" t="str">
        <f t="shared" si="29"/>
        <v/>
      </c>
      <c r="N160" s="119" t="str">
        <f t="shared" si="30"/>
        <v/>
      </c>
      <c r="O160" s="119" t="str">
        <f t="shared" si="31"/>
        <v/>
      </c>
      <c r="P160" s="235"/>
    </row>
    <row r="161" spans="1:16" ht="12">
      <c r="A161" s="54" t="s">
        <v>1669</v>
      </c>
      <c r="B161" s="48"/>
      <c r="C161" s="48"/>
      <c r="D161" s="48"/>
      <c r="E161" s="48"/>
      <c r="J161" s="56" t="s">
        <v>80</v>
      </c>
      <c r="K161" s="10"/>
      <c r="L161" s="3" t="str">
        <f>IF(ISNA(HLOOKUP($G$2,'Prior Year Amounts'!$K$32:$GH$253,122,FALSE)),"",(HLOOKUP($G$2,'Prior Year Amounts'!$K$32:$GH$253,122,FALSE)))</f>
        <v/>
      </c>
      <c r="M161" s="3" t="str">
        <f t="shared" ref="M161:M162" si="32">IF(ISERR(K161-L161),"",(K161-L161))</f>
        <v/>
      </c>
      <c r="N161" s="119" t="str">
        <f t="shared" si="30"/>
        <v/>
      </c>
      <c r="O161" s="119" t="str">
        <f t="shared" si="31"/>
        <v/>
      </c>
      <c r="P161" s="235"/>
    </row>
    <row r="162" spans="1:16" ht="12">
      <c r="A162" s="53" t="s">
        <v>1578</v>
      </c>
      <c r="B162" s="48"/>
      <c r="C162" s="48"/>
      <c r="D162" s="48"/>
      <c r="E162" s="48"/>
      <c r="J162" s="56" t="s">
        <v>82</v>
      </c>
      <c r="K162" s="10"/>
      <c r="L162" s="3" t="str">
        <f>IF(ISNA(HLOOKUP($G$2,'Prior Year Amounts'!$K$32:$GH$253,123,FALSE)),"",(HLOOKUP($G$2,'Prior Year Amounts'!$K$32:$GH$253,123,FALSE)))</f>
        <v/>
      </c>
      <c r="M162" s="3" t="str">
        <f t="shared" si="32"/>
        <v/>
      </c>
      <c r="N162" s="119" t="str">
        <f t="shared" si="30"/>
        <v/>
      </c>
      <c r="O162" s="119" t="str">
        <f t="shared" si="31"/>
        <v/>
      </c>
      <c r="P162" s="235"/>
    </row>
    <row r="163" spans="1:16" ht="12">
      <c r="A163" s="53" t="s">
        <v>1454</v>
      </c>
      <c r="B163" s="48"/>
      <c r="C163" s="48"/>
      <c r="D163" s="48"/>
      <c r="E163" s="48"/>
      <c r="J163" s="56" t="s">
        <v>1314</v>
      </c>
      <c r="K163" s="10"/>
      <c r="L163" s="3" t="str">
        <f>IF(ISNA(HLOOKUP($G$2,'Prior Year Amounts'!$K$32:$GH$253,124,FALSE)),"",(HLOOKUP($G$2,'Prior Year Amounts'!$K$32:$GH$253,124,FALSE)))</f>
        <v/>
      </c>
      <c r="M163" s="3" t="str">
        <f t="shared" si="29"/>
        <v/>
      </c>
      <c r="N163" s="119" t="str">
        <f t="shared" si="30"/>
        <v/>
      </c>
      <c r="O163" s="119" t="str">
        <f t="shared" si="31"/>
        <v/>
      </c>
      <c r="P163" s="235"/>
    </row>
    <row r="164" spans="1:16" ht="12">
      <c r="A164" s="53" t="s">
        <v>159</v>
      </c>
      <c r="B164" s="48"/>
      <c r="C164" s="48"/>
      <c r="D164" s="48"/>
      <c r="E164" s="48"/>
      <c r="J164" s="56" t="s">
        <v>1309</v>
      </c>
      <c r="K164" s="10"/>
      <c r="L164" s="3" t="str">
        <f>IF(ISNA(HLOOKUP($G$2,'Prior Year Amounts'!$K$32:$GH$253,125,FALSE)),"",(HLOOKUP($G$2,'Prior Year Amounts'!$K$32:$GH$253,125,FALSE)))</f>
        <v/>
      </c>
      <c r="M164" s="3" t="str">
        <f t="shared" ref="M164" si="33">IF(ISERR(K164-L164),"",(K164-L164))</f>
        <v/>
      </c>
      <c r="N164" s="119" t="str">
        <f t="shared" si="30"/>
        <v/>
      </c>
      <c r="O164" s="119" t="str">
        <f t="shared" si="31"/>
        <v/>
      </c>
      <c r="P164" s="235"/>
    </row>
    <row r="165" spans="1:16" ht="12">
      <c r="A165" s="53" t="s">
        <v>160</v>
      </c>
      <c r="B165" s="48"/>
      <c r="C165" s="48"/>
      <c r="D165" s="48"/>
      <c r="E165" s="48"/>
      <c r="J165" s="56" t="s">
        <v>81</v>
      </c>
      <c r="K165" s="10"/>
      <c r="L165" s="3" t="str">
        <f>IF(ISNA(HLOOKUP($G$2,'Prior Year Amounts'!$K$32:$GH$253,126,FALSE)),"",(HLOOKUP($G$2,'Prior Year Amounts'!$K$32:$GH$253,126,FALSE)))</f>
        <v/>
      </c>
      <c r="M165" s="3" t="str">
        <f t="shared" si="29"/>
        <v/>
      </c>
      <c r="N165" s="119" t="str">
        <f t="shared" si="30"/>
        <v/>
      </c>
      <c r="O165" s="119" t="str">
        <f t="shared" si="31"/>
        <v/>
      </c>
      <c r="P165" s="235"/>
    </row>
    <row r="166" spans="1:16" ht="13.5" customHeight="1">
      <c r="A166" s="53" t="s">
        <v>1455</v>
      </c>
      <c r="B166" s="422"/>
      <c r="C166" s="422"/>
      <c r="D166" s="422"/>
      <c r="E166" s="422"/>
      <c r="F166" s="739"/>
      <c r="G166" s="739"/>
      <c r="H166" s="739"/>
      <c r="I166" s="739"/>
      <c r="J166" s="56" t="s">
        <v>1480</v>
      </c>
      <c r="K166" s="801"/>
      <c r="L166" s="3" t="str">
        <f>IF(ISNA(HLOOKUP($G$2,'Prior Year Amounts'!$K$32:$GH$253,127,FALSE)),"",(HLOOKUP($G$2,'Prior Year Amounts'!$K$32:$GH$253,127,FALSE)))</f>
        <v/>
      </c>
      <c r="M166" s="3" t="str">
        <f t="shared" si="29"/>
        <v/>
      </c>
      <c r="N166" s="119" t="str">
        <f t="shared" si="30"/>
        <v/>
      </c>
      <c r="O166" s="119" t="str">
        <f t="shared" si="31"/>
        <v/>
      </c>
      <c r="P166" s="235"/>
    </row>
    <row r="167" spans="1:16" ht="12">
      <c r="A167" s="53" t="s">
        <v>1343</v>
      </c>
      <c r="B167" s="48"/>
      <c r="C167" s="48"/>
      <c r="D167" s="48"/>
      <c r="E167" s="48"/>
      <c r="J167" s="56" t="s">
        <v>1480</v>
      </c>
      <c r="K167" s="10"/>
      <c r="L167" s="3" t="str">
        <f>IF(ISNA(HLOOKUP($G$2,'Prior Year Amounts'!$K$32:$GH$253,128,FALSE)),"",(HLOOKUP($G$2,'Prior Year Amounts'!$K$32:$GH$253,128,FALSE)))</f>
        <v/>
      </c>
      <c r="M167" s="3" t="str">
        <f t="shared" si="29"/>
        <v/>
      </c>
      <c r="N167" s="119" t="str">
        <f t="shared" si="30"/>
        <v/>
      </c>
      <c r="O167" s="119" t="str">
        <f t="shared" si="31"/>
        <v/>
      </c>
      <c r="P167" s="235"/>
    </row>
    <row r="168" spans="1:16" ht="12">
      <c r="A168" s="53" t="s">
        <v>509</v>
      </c>
      <c r="B168" s="48"/>
      <c r="C168" s="48"/>
      <c r="D168" s="48"/>
      <c r="E168" s="48"/>
      <c r="J168" s="56" t="s">
        <v>81</v>
      </c>
      <c r="K168" s="10"/>
      <c r="L168" s="3" t="str">
        <f>IF(ISNA(HLOOKUP($G$2,'Prior Year Amounts'!$K$32:$GH$253,129,FALSE)),"",(HLOOKUP($G$2,'Prior Year Amounts'!$K$32:$GH$253,129,FALSE)))</f>
        <v/>
      </c>
      <c r="M168" s="3" t="str">
        <f t="shared" si="29"/>
        <v/>
      </c>
      <c r="N168" s="119" t="str">
        <f t="shared" si="30"/>
        <v/>
      </c>
      <c r="O168" s="119" t="str">
        <f t="shared" si="31"/>
        <v/>
      </c>
      <c r="P168" s="235"/>
    </row>
    <row r="169" spans="1:16" ht="12.75">
      <c r="A169" s="53" t="s">
        <v>1387</v>
      </c>
      <c r="B169" s="48"/>
      <c r="C169" s="48"/>
      <c r="D169" s="48"/>
      <c r="E169"/>
      <c r="F169"/>
      <c r="J169" s="56" t="s">
        <v>81</v>
      </c>
      <c r="K169" s="10"/>
      <c r="L169" s="3" t="str">
        <f>IF(ISNA(HLOOKUP($G$2,'Prior Year Amounts'!$K$32:$GH$253,130,FALSE)),"",(HLOOKUP($G$2,'Prior Year Amounts'!$K$32:$GH$253,130,FALSE)))</f>
        <v/>
      </c>
      <c r="M169" s="3" t="str">
        <f>IF(ISERR(K169-L169),"",(K169-L169))</f>
        <v/>
      </c>
      <c r="N169" s="119" t="str">
        <f t="shared" si="30"/>
        <v/>
      </c>
      <c r="O169" s="119" t="str">
        <f t="shared" si="31"/>
        <v/>
      </c>
      <c r="P169" s="235"/>
    </row>
    <row r="170" spans="1:16" ht="12">
      <c r="A170" s="48" t="s">
        <v>1056</v>
      </c>
      <c r="B170" s="48"/>
      <c r="C170" s="48"/>
      <c r="D170" s="48"/>
      <c r="E170" s="48"/>
      <c r="G170" s="1150" t="str">
        <f t="shared" ref="G170" si="34">IF(K170&lt;&gt;0,"Answer Required","N/A")</f>
        <v>N/A</v>
      </c>
      <c r="H170" s="1151" t="str">
        <f t="shared" ref="H170" si="35">IF(J170&lt;&gt;0,"Answer Required","N/A")</f>
        <v>Answer Required</v>
      </c>
      <c r="I170" s="1152" t="str">
        <f t="shared" ref="I170" si="36">IF(K170&lt;&gt;0,"Answer Required","N/A")</f>
        <v>N/A</v>
      </c>
      <c r="J170" s="56" t="s">
        <v>1599</v>
      </c>
      <c r="K170" s="45"/>
      <c r="L170" s="3" t="str">
        <f>IF(ISNA(HLOOKUP($G$2,'Prior Year Amounts'!$K$32:$GH$253,131,FALSE)),"",(HLOOKUP($G$2,'Prior Year Amounts'!$K$32:$GH$253,131,FALSE)))</f>
        <v/>
      </c>
      <c r="M170" s="3" t="str">
        <f t="shared" si="29"/>
        <v/>
      </c>
      <c r="N170" s="119" t="str">
        <f t="shared" si="30"/>
        <v/>
      </c>
      <c r="O170" s="119" t="str">
        <f t="shared" si="31"/>
        <v/>
      </c>
      <c r="P170" s="235"/>
    </row>
    <row r="171" spans="1:16" ht="12">
      <c r="A171" s="48"/>
      <c r="B171" s="49" t="s">
        <v>577</v>
      </c>
      <c r="C171" s="48"/>
      <c r="D171" s="48"/>
      <c r="E171" s="48"/>
      <c r="J171" s="55"/>
      <c r="K171" s="8">
        <f>SUM(K158:K170)</f>
        <v>0</v>
      </c>
      <c r="L171" s="8">
        <f>SUM(L158:L170)</f>
        <v>0</v>
      </c>
      <c r="M171" s="8">
        <f>K171-L171</f>
        <v>0</v>
      </c>
      <c r="N171" s="139">
        <f t="shared" ref="N171" si="37">IF(ISERR(IF(M171=0,0,IF((AND(L171=0,K171&gt;0)),1,IF((AND(L171=0,K171&lt;0)),-1,M171/ABS(L171))))),"",(IF(M171=0,0,IF((AND(L171=0,K171&gt;0)),1,IF((AND(L171=0,K171&lt;0)),-1,M171/ABS(L171))))))</f>
        <v>0</v>
      </c>
      <c r="O171" s="119"/>
    </row>
    <row r="172" spans="1:16" ht="12">
      <c r="A172" s="48"/>
      <c r="B172" s="49"/>
      <c r="C172" s="48"/>
      <c r="D172" s="48"/>
      <c r="E172" s="48"/>
      <c r="J172" s="55"/>
      <c r="L172" s="3"/>
      <c r="M172" s="3"/>
      <c r="N172" s="119"/>
      <c r="O172" s="119"/>
    </row>
    <row r="173" spans="1:16" ht="12">
      <c r="A173" s="48" t="s">
        <v>241</v>
      </c>
      <c r="B173" s="48"/>
      <c r="C173" s="48"/>
      <c r="D173" s="48"/>
      <c r="E173" s="48"/>
      <c r="J173" s="55"/>
      <c r="K173" s="10"/>
      <c r="L173" s="3" t="str">
        <f>IF(ISNA(HLOOKUP($G$2,'Prior Year Amounts'!$K$32:$GH$253,134,FALSE)),"",(HLOOKUP($G$2,'Prior Year Amounts'!$K$32:$GH$253,134,FALSE)))</f>
        <v/>
      </c>
      <c r="M173" s="3" t="str">
        <f>IF(ISERR(K173-L173),"",(K173-L173))</f>
        <v/>
      </c>
      <c r="N173" s="119" t="str">
        <f t="shared" ref="N173:N176" si="38">IF(ISERR(IF(M173=0,0,IF((AND(L173=0,K173&gt;0)),1,IF((AND(L173=0,K173&lt;0)),-1,M173/ABS(L173))))),"",(IF(M173=0,0,IF((AND(L173=0,K173&gt;0)),1,IF((AND(L173=0,K173&lt;0)),-1,M173/ABS(L173))))))</f>
        <v/>
      </c>
      <c r="O173" s="119" t="str">
        <f t="shared" ref="O173:O176" si="39">IF(L173="","",IF(OR((ABS(M173)&gt;19800000),AND(ABS(M173)&gt;9900000,ABS(N173)&gt;0.1)),"YES","-"))</f>
        <v/>
      </c>
      <c r="P173" s="235"/>
    </row>
    <row r="174" spans="1:16" ht="12">
      <c r="A174" s="48" t="s">
        <v>187</v>
      </c>
      <c r="B174" s="48"/>
      <c r="C174" s="48"/>
      <c r="D174" s="48"/>
      <c r="E174" s="48"/>
      <c r="G174" s="1150" t="str">
        <f t="shared" ref="G174" si="40">IF(K174&lt;&gt;0,"Answer Required","N/A")</f>
        <v>N/A</v>
      </c>
      <c r="H174" s="1151" t="str">
        <f t="shared" ref="H174" si="41">IF(J174&lt;&gt;0,"Answer Required","N/A")</f>
        <v>N/A</v>
      </c>
      <c r="I174" s="1152" t="str">
        <f t="shared" ref="I174" si="42">IF(K174&lt;&gt;0,"Answer Required","N/A")</f>
        <v>N/A</v>
      </c>
      <c r="J174" s="55"/>
      <c r="K174" s="10"/>
      <c r="L174" s="3" t="str">
        <f>IF(ISNA(HLOOKUP($G$2,'Prior Year Amounts'!$K$32:$GH$253,135,FALSE)),"",(HLOOKUP($G$2,'Prior Year Amounts'!$K$32:$GH$253,135,FALSE)))</f>
        <v/>
      </c>
      <c r="M174" s="3" t="str">
        <f>IF(ISERR(K174-L174),"",(K174-L174))</f>
        <v/>
      </c>
      <c r="N174" s="119" t="str">
        <f t="shared" si="38"/>
        <v/>
      </c>
      <c r="O174" s="119" t="str">
        <f t="shared" si="39"/>
        <v/>
      </c>
      <c r="P174" s="235"/>
    </row>
    <row r="175" spans="1:16" ht="12">
      <c r="A175" s="48" t="s">
        <v>204</v>
      </c>
      <c r="B175" s="48"/>
      <c r="C175" s="48"/>
      <c r="D175" s="48"/>
      <c r="E175" s="48"/>
      <c r="J175" s="55"/>
      <c r="K175" s="10"/>
      <c r="L175" s="3" t="str">
        <f>IF(ISNA(HLOOKUP($G$2,'Prior Year Amounts'!$K$32:$GH$253,136,FALSE)),"",(HLOOKUP($G$2,'Prior Year Amounts'!$K$32:$GH$253,136,FALSE)))</f>
        <v/>
      </c>
      <c r="M175" s="3" t="str">
        <f>IF(ISERR(K175-L175),"",(K175-L175))</f>
        <v/>
      </c>
      <c r="N175" s="119" t="str">
        <f t="shared" si="38"/>
        <v/>
      </c>
      <c r="O175" s="119" t="str">
        <f t="shared" si="39"/>
        <v/>
      </c>
      <c r="P175" s="235"/>
    </row>
    <row r="176" spans="1:16" ht="12">
      <c r="A176" s="48" t="s">
        <v>243</v>
      </c>
      <c r="B176" s="48"/>
      <c r="C176" s="48"/>
      <c r="D176" s="48"/>
      <c r="E176" s="48"/>
      <c r="J176" s="55"/>
      <c r="K176" s="45"/>
      <c r="L176" s="3" t="str">
        <f>IF(ISNA(HLOOKUP($G$2,'Prior Year Amounts'!$K$32:$GH$253,137,FALSE)),"",(HLOOKUP($G$2,'Prior Year Amounts'!$K$32:$GH$253,137,FALSE)))</f>
        <v/>
      </c>
      <c r="M176" s="3" t="str">
        <f>IF(ISERR(K176-L176),"",(K176-L176))</f>
        <v/>
      </c>
      <c r="N176" s="119" t="str">
        <f t="shared" si="38"/>
        <v/>
      </c>
      <c r="O176" s="119" t="str">
        <f t="shared" si="39"/>
        <v/>
      </c>
      <c r="P176" s="235"/>
    </row>
    <row r="177" spans="1:16" ht="12">
      <c r="A177" s="49"/>
      <c r="B177" s="49" t="s">
        <v>63</v>
      </c>
      <c r="C177" s="48"/>
      <c r="D177" s="48"/>
      <c r="E177" s="48"/>
      <c r="J177" s="56"/>
      <c r="K177" s="8">
        <f>SUM(K173:K176)</f>
        <v>0</v>
      </c>
      <c r="L177" s="8">
        <f>SUM(L173:L176)</f>
        <v>0</v>
      </c>
      <c r="M177" s="8">
        <f>K177-L177</f>
        <v>0</v>
      </c>
      <c r="N177" s="139">
        <f t="shared" ref="N177" si="43">IF(ISERR(IF(M177=0,0,IF((AND(L177=0,K177&gt;0)),1,IF((AND(L177=0,K177&lt;0)),-1,M177/ABS(L177))))),"",(IF(M177=0,0,IF((AND(L177=0,K177&gt;0)),1,IF((AND(L177=0,K177&lt;0)),-1,M177/ABS(L177))))))</f>
        <v>0</v>
      </c>
      <c r="O177" s="119"/>
    </row>
    <row r="178" spans="1:16" ht="12">
      <c r="A178" s="48"/>
      <c r="B178" s="48"/>
      <c r="C178" s="48"/>
      <c r="D178" s="48"/>
      <c r="E178" s="48"/>
      <c r="J178" s="55"/>
      <c r="L178" s="3"/>
      <c r="M178" s="3"/>
      <c r="N178" s="119"/>
      <c r="O178" s="119"/>
    </row>
    <row r="179" spans="1:16" ht="12">
      <c r="A179" s="53" t="s">
        <v>578</v>
      </c>
      <c r="B179" s="48"/>
      <c r="C179" s="48"/>
      <c r="D179" s="48"/>
      <c r="E179" s="48"/>
      <c r="J179" s="56" t="s">
        <v>77</v>
      </c>
      <c r="K179" s="10"/>
      <c r="L179" s="3" t="str">
        <f>IF(ISNA(HLOOKUP($G$2,'Prior Year Amounts'!$K$32:$GH$253,140,FALSE)),"",(HLOOKUP($G$2,'Prior Year Amounts'!$K$32:$GH$253,140,FALSE)))</f>
        <v/>
      </c>
      <c r="M179" s="3" t="str">
        <f t="shared" ref="M179:M192" si="44">IF(ISERR(K179-L179),"",(K179-L179))</f>
        <v/>
      </c>
      <c r="N179" s="119" t="str">
        <f t="shared" ref="N179:N192" si="45">IF(ISERR(IF(M179=0,0,IF((AND(L179=0,K179&gt;0)),1,IF((AND(L179=0,K179&lt;0)),-1,M179/ABS(L179))))),"",(IF(M179=0,0,IF((AND(L179=0,K179&gt;0)),1,IF((AND(L179=0,K179&lt;0)),-1,M179/ABS(L179))))))</f>
        <v/>
      </c>
      <c r="O179" s="119" t="str">
        <f t="shared" ref="O179:O192" si="46">IF(L179="","",IF(OR((ABS(M179)&gt;19800000),AND(ABS(M179)&gt;9900000,ABS(N179)&gt;0.1)),"YES","-"))</f>
        <v/>
      </c>
      <c r="P179" s="235"/>
    </row>
    <row r="180" spans="1:16" ht="12">
      <c r="A180" s="54" t="s">
        <v>62</v>
      </c>
      <c r="B180" s="48"/>
      <c r="C180" s="48"/>
      <c r="D180" s="48"/>
      <c r="E180" s="48"/>
      <c r="J180" s="56" t="s">
        <v>78</v>
      </c>
      <c r="K180" s="10"/>
      <c r="L180" s="3" t="str">
        <f>IF(ISNA(HLOOKUP($G$2,'Prior Year Amounts'!$K$32:$GH$253,141,FALSE)),"",(HLOOKUP($G$2,'Prior Year Amounts'!$K$32:$GH$253,141,FALSE)))</f>
        <v/>
      </c>
      <c r="M180" s="3" t="str">
        <f t="shared" si="44"/>
        <v/>
      </c>
      <c r="N180" s="119" t="str">
        <f t="shared" si="45"/>
        <v/>
      </c>
      <c r="O180" s="119" t="str">
        <f t="shared" si="46"/>
        <v/>
      </c>
      <c r="P180" s="235"/>
    </row>
    <row r="181" spans="1:16" ht="12">
      <c r="A181" s="54" t="s">
        <v>1668</v>
      </c>
      <c r="B181" s="48"/>
      <c r="C181" s="48"/>
      <c r="D181" s="48"/>
      <c r="E181" s="48"/>
      <c r="J181" s="56" t="s">
        <v>79</v>
      </c>
      <c r="K181" s="10"/>
      <c r="L181" s="3" t="str">
        <f>IF(ISNA(HLOOKUP($G$2,'Prior Year Amounts'!$K$32:$GH$253,142,FALSE)),"",(HLOOKUP($G$2,'Prior Year Amounts'!$K$32:$GH$253,142,FALSE)))</f>
        <v/>
      </c>
      <c r="M181" s="3" t="str">
        <f t="shared" si="44"/>
        <v/>
      </c>
      <c r="N181" s="119" t="str">
        <f t="shared" si="45"/>
        <v/>
      </c>
      <c r="O181" s="119" t="str">
        <f t="shared" si="46"/>
        <v/>
      </c>
      <c r="P181" s="235"/>
    </row>
    <row r="182" spans="1:16" ht="12">
      <c r="A182" s="54" t="s">
        <v>1670</v>
      </c>
      <c r="B182" s="48"/>
      <c r="C182" s="48"/>
      <c r="D182" s="48"/>
      <c r="E182" s="48"/>
      <c r="J182" s="56" t="s">
        <v>80</v>
      </c>
      <c r="K182" s="10"/>
      <c r="L182" s="3" t="str">
        <f>IF(ISNA(HLOOKUP($G$2,'Prior Year Amounts'!$K$32:$GH$253,143,FALSE)),"",(HLOOKUP($G$2,'Prior Year Amounts'!$K$32:$GH$253,143,FALSE)))</f>
        <v/>
      </c>
      <c r="M182" s="3" t="str">
        <f t="shared" ref="M182:M183" si="47">IF(ISERR(K182-L182),"",(K182-L182))</f>
        <v/>
      </c>
      <c r="N182" s="119" t="str">
        <f t="shared" si="45"/>
        <v/>
      </c>
      <c r="O182" s="119" t="str">
        <f t="shared" si="46"/>
        <v/>
      </c>
      <c r="P182" s="235"/>
    </row>
    <row r="183" spans="1:16" ht="12">
      <c r="A183" s="53" t="s">
        <v>1671</v>
      </c>
      <c r="B183" s="48"/>
      <c r="C183" s="48"/>
      <c r="D183" s="48"/>
      <c r="E183" s="48"/>
      <c r="J183" s="56" t="s">
        <v>82</v>
      </c>
      <c r="K183" s="10"/>
      <c r="L183" s="3" t="str">
        <f>IF(ISNA(HLOOKUP($G$2,'Prior Year Amounts'!$K$32:$GH$253,144,FALSE)),"",(HLOOKUP($G$2,'Prior Year Amounts'!$K$32:$GH$253,144,FALSE)))</f>
        <v/>
      </c>
      <c r="M183" s="3" t="str">
        <f t="shared" si="47"/>
        <v/>
      </c>
      <c r="N183" s="119" t="str">
        <f t="shared" si="45"/>
        <v/>
      </c>
      <c r="O183" s="119" t="str">
        <f t="shared" si="46"/>
        <v/>
      </c>
      <c r="P183" s="235"/>
    </row>
    <row r="184" spans="1:16" ht="12">
      <c r="A184" s="53" t="s">
        <v>1672</v>
      </c>
      <c r="B184" s="48"/>
      <c r="C184" s="48"/>
      <c r="D184" s="48"/>
      <c r="E184" s="48"/>
      <c r="J184" s="56" t="s">
        <v>1314</v>
      </c>
      <c r="K184" s="10"/>
      <c r="L184" s="3" t="str">
        <f>IF(ISNA(HLOOKUP($G$2,'Prior Year Amounts'!$K$32:$GH$253,145,FALSE)),"",(HLOOKUP($G$2,'Prior Year Amounts'!$K$32:$GH$253,145,FALSE)))</f>
        <v/>
      </c>
      <c r="M184" s="3" t="str">
        <f t="shared" si="44"/>
        <v/>
      </c>
      <c r="N184" s="119" t="str">
        <f t="shared" si="45"/>
        <v/>
      </c>
      <c r="O184" s="119" t="str">
        <f t="shared" si="46"/>
        <v/>
      </c>
      <c r="P184" s="235"/>
    </row>
    <row r="185" spans="1:16" ht="12">
      <c r="A185" s="53" t="s">
        <v>131</v>
      </c>
      <c r="B185" s="48"/>
      <c r="C185" s="48"/>
      <c r="D185" s="48"/>
      <c r="E185" s="48"/>
      <c r="J185" s="56" t="s">
        <v>1309</v>
      </c>
      <c r="K185" s="10"/>
      <c r="L185" s="3" t="str">
        <f>IF(ISNA(HLOOKUP($G$2,'Prior Year Amounts'!$K$32:$GH$253,146,FALSE)),"",(HLOOKUP($G$2,'Prior Year Amounts'!$K$32:$GH$253,146,FALSE)))</f>
        <v/>
      </c>
      <c r="M185" s="3" t="str">
        <f t="shared" ref="M185" si="48">IF(ISERR(K185-L185),"",(K185-L185))</f>
        <v/>
      </c>
      <c r="N185" s="119" t="str">
        <f t="shared" si="45"/>
        <v/>
      </c>
      <c r="O185" s="119" t="str">
        <f t="shared" si="46"/>
        <v/>
      </c>
      <c r="P185" s="235"/>
    </row>
    <row r="186" spans="1:16" ht="12">
      <c r="A186" s="53" t="s">
        <v>132</v>
      </c>
      <c r="B186" s="48"/>
      <c r="C186" s="48"/>
      <c r="D186" s="48"/>
      <c r="E186" s="48"/>
      <c r="J186" s="56" t="s">
        <v>81</v>
      </c>
      <c r="K186" s="10"/>
      <c r="L186" s="3" t="str">
        <f>IF(ISNA(HLOOKUP($G$2,'Prior Year Amounts'!$K$32:$GH$253,147,FALSE)),"",(HLOOKUP($G$2,'Prior Year Amounts'!$K$32:$GH$253,147,FALSE)))</f>
        <v/>
      </c>
      <c r="M186" s="3" t="str">
        <f t="shared" si="44"/>
        <v/>
      </c>
      <c r="N186" s="119" t="str">
        <f t="shared" si="45"/>
        <v/>
      </c>
      <c r="O186" s="119" t="str">
        <f t="shared" si="46"/>
        <v/>
      </c>
      <c r="P186" s="235"/>
    </row>
    <row r="187" spans="1:16" ht="12">
      <c r="A187" s="53" t="s">
        <v>1089</v>
      </c>
      <c r="B187" s="48"/>
      <c r="C187" s="48"/>
      <c r="D187" s="48"/>
      <c r="E187" s="48"/>
      <c r="J187" s="56" t="s">
        <v>1385</v>
      </c>
      <c r="K187" s="10"/>
      <c r="L187" s="3" t="str">
        <f>IF(ISNA(HLOOKUP($G$2,'Prior Year Amounts'!$K$32:$GH$253,148,FALSE)),"",(HLOOKUP($G$2,'Prior Year Amounts'!$K$32:$GH$253,148,FALSE)))</f>
        <v/>
      </c>
      <c r="M187" s="3" t="str">
        <f t="shared" si="44"/>
        <v/>
      </c>
      <c r="N187" s="119" t="str">
        <f t="shared" si="45"/>
        <v/>
      </c>
      <c r="O187" s="119" t="str">
        <f t="shared" si="46"/>
        <v/>
      </c>
      <c r="P187" s="235"/>
    </row>
    <row r="188" spans="1:16" ht="12">
      <c r="A188" s="53" t="s">
        <v>1456</v>
      </c>
      <c r="B188" s="48"/>
      <c r="C188" s="48"/>
      <c r="D188" s="48"/>
      <c r="E188" s="48"/>
      <c r="J188" s="56" t="s">
        <v>1480</v>
      </c>
      <c r="K188" s="10"/>
      <c r="L188" s="3" t="str">
        <f>IF(ISNA(HLOOKUP($G$2,'Prior Year Amounts'!$K$32:$GH$253,149,FALSE)),"",(HLOOKUP($G$2,'Prior Year Amounts'!$K$32:$GH$253,149,FALSE)))</f>
        <v/>
      </c>
      <c r="M188" s="3" t="str">
        <f t="shared" si="44"/>
        <v/>
      </c>
      <c r="N188" s="119" t="str">
        <f t="shared" si="45"/>
        <v/>
      </c>
      <c r="O188" s="119" t="str">
        <f t="shared" si="46"/>
        <v/>
      </c>
      <c r="P188" s="235"/>
    </row>
    <row r="189" spans="1:16" ht="12">
      <c r="A189" s="53" t="s">
        <v>1457</v>
      </c>
      <c r="B189" s="48"/>
      <c r="C189" s="48"/>
      <c r="D189" s="48"/>
      <c r="E189" s="48"/>
      <c r="J189" s="56" t="s">
        <v>1480</v>
      </c>
      <c r="K189" s="10"/>
      <c r="L189" s="3" t="str">
        <f>IF(ISNA(HLOOKUP($G$2,'Prior Year Amounts'!$K$32:$GH$253,150,FALSE)),"",(HLOOKUP($G$2,'Prior Year Amounts'!$K$32:$GH$253,150,FALSE)))</f>
        <v/>
      </c>
      <c r="M189" s="3" t="str">
        <f t="shared" ref="M189" si="49">IF(ISERR(K189-L189),"",(K189-L189))</f>
        <v/>
      </c>
      <c r="N189" s="119" t="str">
        <f t="shared" si="45"/>
        <v/>
      </c>
      <c r="O189" s="119" t="str">
        <f t="shared" si="46"/>
        <v/>
      </c>
      <c r="P189" s="235"/>
    </row>
    <row r="190" spans="1:16" ht="12">
      <c r="A190" s="53" t="s">
        <v>510</v>
      </c>
      <c r="B190" s="48"/>
      <c r="C190" s="48"/>
      <c r="D190" s="48"/>
      <c r="E190" s="48"/>
      <c r="J190" s="56" t="s">
        <v>81</v>
      </c>
      <c r="K190" s="10"/>
      <c r="L190" s="3" t="str">
        <f>IF(ISNA(HLOOKUP($G$2,'Prior Year Amounts'!$K$32:$GH$253,151,FALSE)),"",(HLOOKUP($G$2,'Prior Year Amounts'!$K$32:$GH$253,151,FALSE)))</f>
        <v/>
      </c>
      <c r="M190" s="3" t="str">
        <f t="shared" si="44"/>
        <v/>
      </c>
      <c r="N190" s="119" t="str">
        <f t="shared" si="45"/>
        <v/>
      </c>
      <c r="O190" s="119" t="str">
        <f t="shared" si="46"/>
        <v/>
      </c>
      <c r="P190" s="235"/>
    </row>
    <row r="191" spans="1:16" ht="12.75">
      <c r="A191" s="53" t="s">
        <v>1388</v>
      </c>
      <c r="B191" s="48"/>
      <c r="C191" s="48"/>
      <c r="D191" s="48"/>
      <c r="E191"/>
      <c r="F191"/>
      <c r="G191"/>
      <c r="J191" s="56" t="s">
        <v>81</v>
      </c>
      <c r="K191" s="10"/>
      <c r="L191" s="3" t="str">
        <f>IF(ISNA(HLOOKUP($G$2,'Prior Year Amounts'!$K$32:$GH$253,152,FALSE)),"",(HLOOKUP($G$2,'Prior Year Amounts'!$K$32:$GH$253,152,FALSE)))</f>
        <v/>
      </c>
      <c r="M191" s="3" t="str">
        <f>IF(ISERR(K191-L191),"",(K191-L191))</f>
        <v/>
      </c>
      <c r="N191" s="119" t="str">
        <f t="shared" si="45"/>
        <v/>
      </c>
      <c r="O191" s="119" t="str">
        <f t="shared" si="46"/>
        <v/>
      </c>
      <c r="P191" s="235"/>
    </row>
    <row r="192" spans="1:16" ht="12">
      <c r="A192" s="48" t="s">
        <v>1085</v>
      </c>
      <c r="B192" s="48"/>
      <c r="C192" s="48"/>
      <c r="D192" s="48"/>
      <c r="E192" s="48"/>
      <c r="G192" s="1150" t="str">
        <f t="shared" ref="G192" si="50">IF(K192&lt;&gt;0,"Answer Required","N/A")</f>
        <v>N/A</v>
      </c>
      <c r="H192" s="1151" t="str">
        <f t="shared" ref="H192" si="51">IF(J192&lt;&gt;0,"Answer Required","N/A")</f>
        <v>Answer Required</v>
      </c>
      <c r="I192" s="1152" t="str">
        <f t="shared" ref="I192" si="52">IF(K192&lt;&gt;0,"Answer Required","N/A")</f>
        <v>N/A</v>
      </c>
      <c r="J192" s="56" t="s">
        <v>1599</v>
      </c>
      <c r="K192" s="45"/>
      <c r="L192" s="3" t="str">
        <f>IF(ISNA(HLOOKUP($G$2,'Prior Year Amounts'!$K$32:$GH$253,153,FALSE)),"",(HLOOKUP($G$2,'Prior Year Amounts'!$K$32:$GH$253,153,FALSE)))</f>
        <v/>
      </c>
      <c r="M192" s="3" t="str">
        <f t="shared" si="44"/>
        <v/>
      </c>
      <c r="N192" s="119" t="str">
        <f t="shared" si="45"/>
        <v/>
      </c>
      <c r="O192" s="119" t="str">
        <f t="shared" si="46"/>
        <v/>
      </c>
      <c r="P192" s="235"/>
    </row>
    <row r="193" spans="1:19" ht="12">
      <c r="A193" s="48"/>
      <c r="B193" s="49" t="s">
        <v>618</v>
      </c>
      <c r="C193" s="48"/>
      <c r="D193" s="48"/>
      <c r="E193" s="48"/>
      <c r="J193" s="55"/>
      <c r="K193" s="8">
        <f>SUM(K179:K192)</f>
        <v>0</v>
      </c>
      <c r="L193" s="8">
        <f>SUM(L179:L192)</f>
        <v>0</v>
      </c>
      <c r="M193" s="8">
        <f>K193-L193</f>
        <v>0</v>
      </c>
      <c r="N193" s="139">
        <f t="shared" ref="N193" si="53">IF(ISERR(IF(M193=0,0,IF((AND(L193=0,K193&gt;0)),1,IF((AND(L193=0,K193&lt;0)),-1,M193/ABS(L193))))),"",(IF(M193=0,0,IF((AND(L193=0,K193&gt;0)),1,IF((AND(L193=0,K193&lt;0)),-1,M193/ABS(L193))))))</f>
        <v>0</v>
      </c>
      <c r="O193" s="119"/>
    </row>
    <row r="194" spans="1:19" ht="12">
      <c r="A194" s="48"/>
      <c r="B194" s="48"/>
      <c r="C194" s="48"/>
      <c r="D194" s="48"/>
      <c r="E194" s="48"/>
      <c r="L194" s="3"/>
      <c r="M194" s="3"/>
      <c r="N194" s="119"/>
      <c r="O194" s="119"/>
    </row>
    <row r="195" spans="1:19" ht="12">
      <c r="A195" s="47" t="s">
        <v>485</v>
      </c>
      <c r="B195" s="48"/>
      <c r="C195" s="48"/>
      <c r="D195" s="48"/>
      <c r="E195" s="48"/>
      <c r="K195" s="8">
        <f>SUM(K137,K140,K141,K143,K145,K153,K155,K171,K177,K193,K142+K139)</f>
        <v>0</v>
      </c>
      <c r="L195" s="8">
        <f>SUM(L137,L140,L141,L142,L143,L145,L153,L155,L171,L177,L193,L139)</f>
        <v>0</v>
      </c>
      <c r="M195" s="8">
        <f>K195-L195</f>
        <v>0</v>
      </c>
      <c r="N195" s="139">
        <f>IF(ISERR(IF(M195=0,0,IF((AND(L195=0,K195&gt;0)),1,IF((AND(L195=0,K195&lt;0)),-1,M195/ABS(L195))))),"",(IF(M195=0,0,IF((AND(L195=0,K195&gt;0)),1,IF((AND(L195=0,K195&lt;0)),-1,M195/ABS(L195))))))</f>
        <v>0</v>
      </c>
      <c r="O195" s="119"/>
    </row>
    <row r="196" spans="1:19" ht="12">
      <c r="A196" s="48"/>
      <c r="B196" s="48"/>
      <c r="C196" s="48"/>
      <c r="D196" s="48"/>
      <c r="E196" s="48"/>
      <c r="K196" s="6"/>
      <c r="L196" s="3"/>
      <c r="M196" s="3"/>
      <c r="N196" s="119"/>
      <c r="O196" s="119"/>
    </row>
    <row r="197" spans="1:19" ht="12">
      <c r="A197" s="47" t="s">
        <v>744</v>
      </c>
      <c r="B197" s="48"/>
      <c r="C197" s="48"/>
      <c r="D197" s="48"/>
      <c r="E197" s="48"/>
      <c r="J197" s="56" t="s">
        <v>831</v>
      </c>
      <c r="K197" s="10"/>
      <c r="L197" s="3" t="str">
        <f>IF(ISNA(HLOOKUP($G$2,'Prior Year Amounts'!$K$32:$GH$253,158,FALSE)),"",(HLOOKUP($G$2,'Prior Year Amounts'!$K$32:$GH$253,158,FALSE)))</f>
        <v/>
      </c>
      <c r="M197" s="3" t="str">
        <f>IF(ISERR(K197-L197),"",(K197-L197))</f>
        <v/>
      </c>
      <c r="N197" s="119" t="str">
        <f t="shared" ref="N197" si="54">IF(ISERR(IF(M197=0,0,IF((AND(L197=0,K197&gt;0)),1,IF((AND(L197=0,K197&lt;0)),-1,M197/ABS(L197))))),"",(IF(M197=0,0,IF((AND(L197=0,K197&gt;0)),1,IF((AND(L197=0,K197&lt;0)),-1,M197/ABS(L197))))))</f>
        <v/>
      </c>
      <c r="O197" s="119" t="str">
        <f t="shared" ref="O197" si="55">IF(L197="","",IF(OR((ABS(M197)&gt;19800000),AND(ABS(M197)&gt;9900000,ABS(N197)&gt;0.1)),"YES","-"))</f>
        <v/>
      </c>
      <c r="P197" s="235"/>
    </row>
    <row r="198" spans="1:19" ht="12">
      <c r="A198" s="47"/>
      <c r="B198" s="48"/>
      <c r="C198" s="48"/>
      <c r="D198" s="48"/>
      <c r="E198" s="48"/>
      <c r="L198" s="3"/>
      <c r="M198" s="3"/>
      <c r="N198" s="119"/>
      <c r="O198" s="119"/>
    </row>
    <row r="199" spans="1:19" ht="12">
      <c r="A199" s="47" t="s">
        <v>745</v>
      </c>
      <c r="B199" s="48"/>
      <c r="C199" s="48"/>
      <c r="D199" s="48"/>
      <c r="E199" s="48"/>
      <c r="K199" s="8">
        <f>SUM(K197,K195)</f>
        <v>0</v>
      </c>
      <c r="L199" s="8">
        <f>SUM(L197,L195)</f>
        <v>0</v>
      </c>
      <c r="M199" s="8">
        <f>SUM(M197,M195)</f>
        <v>0</v>
      </c>
      <c r="N199" s="139">
        <f>IF(ISERR(IF(M199=0,0,IF((AND(L199=0,K199&gt;0)),1,IF((AND(L199=0,K199&lt;0)),-1,M199/ABS(L199))))),"",(IF(M199=0,0,IF((AND(L199=0,K199&gt;0)),1,IF((AND(L199=0,K199&lt;0)),-1,M199/ABS(L199))))))</f>
        <v>0</v>
      </c>
      <c r="O199" s="119"/>
    </row>
    <row r="200" spans="1:19" ht="12">
      <c r="A200" s="48"/>
      <c r="B200" s="48"/>
      <c r="C200" s="48"/>
      <c r="D200" s="48"/>
      <c r="E200" s="48"/>
      <c r="L200" s="3"/>
      <c r="M200" s="3"/>
      <c r="N200" s="119"/>
      <c r="O200" s="119"/>
    </row>
    <row r="201" spans="1:19" ht="12">
      <c r="A201" s="47" t="s">
        <v>734</v>
      </c>
      <c r="B201" s="48"/>
      <c r="C201" s="48"/>
      <c r="D201" s="48"/>
      <c r="E201" s="48"/>
      <c r="L201" s="3"/>
      <c r="M201" s="3"/>
      <c r="N201" s="119"/>
      <c r="O201" s="119"/>
    </row>
    <row r="202" spans="1:19" ht="12">
      <c r="A202" s="49" t="s">
        <v>703</v>
      </c>
      <c r="B202" s="48"/>
      <c r="C202" s="48"/>
      <c r="D202" s="48"/>
      <c r="E202" s="48"/>
      <c r="J202" s="56" t="s">
        <v>492</v>
      </c>
      <c r="K202" s="10"/>
      <c r="L202" s="3" t="str">
        <f>IF(ISNA(HLOOKUP($G$2,'Prior Year Amounts'!$K$32:$GH$253,163,FALSE)),"",(HLOOKUP($G$2,'Prior Year Amounts'!$K$32:$GH$253,163,FALSE)))</f>
        <v/>
      </c>
      <c r="M202" s="3" t="str">
        <f>IF(ISERR(K202-L202),"",(K202-L202))</f>
        <v/>
      </c>
      <c r="N202" s="119" t="str">
        <f t="shared" ref="N202" si="56">IF(ISERR(IF(M202=0,0,IF((AND(L202=0,K202&gt;0)),1,IF((AND(L202=0,K202&lt;0)),-1,M202/ABS(L202))))),"",(IF(M202=0,0,IF((AND(L202=0,K202&gt;0)),1,IF((AND(L202=0,K202&lt;0)),-1,M202/ABS(L202))))))</f>
        <v/>
      </c>
      <c r="O202" s="119" t="str">
        <f t="shared" ref="O202" si="57">IF(L202="","",IF(OR((ABS(M202)&gt;19800000),AND(ABS(M202)&gt;9900000,ABS(N202)&gt;0.1)),"YES","-"))</f>
        <v/>
      </c>
      <c r="P202" s="235"/>
    </row>
    <row r="203" spans="1:19" ht="12">
      <c r="A203" s="48" t="s">
        <v>146</v>
      </c>
      <c r="B203" s="48"/>
      <c r="C203" s="48"/>
      <c r="D203" s="48"/>
      <c r="E203" s="48"/>
      <c r="J203" s="9"/>
      <c r="L203" s="3"/>
      <c r="M203" s="3"/>
      <c r="N203" s="119"/>
      <c r="O203" s="119"/>
    </row>
    <row r="204" spans="1:19" ht="12">
      <c r="A204" s="48"/>
      <c r="B204" s="48" t="s">
        <v>691</v>
      </c>
      <c r="C204" s="48"/>
      <c r="D204" s="48"/>
      <c r="E204" s="48"/>
      <c r="J204" s="9"/>
      <c r="K204" s="10"/>
      <c r="L204" s="3" t="str">
        <f>IF(ISNA(HLOOKUP($G$2,'Prior Year Amounts'!$K$32:$GH$253,165,FALSE)),"",(HLOOKUP($G$2,'Prior Year Amounts'!$K$32:$GH$253,165,FALSE)))</f>
        <v/>
      </c>
      <c r="M204" s="3" t="str">
        <f>IF(ISERR(K204-L204),"",(K204-L204))</f>
        <v/>
      </c>
      <c r="N204" s="119" t="str">
        <f t="shared" ref="N204" si="58">IF(ISERR(IF(M204=0,0,IF((AND(L204=0,K204&gt;0)),1,IF((AND(L204=0,K204&lt;0)),-1,M204/ABS(L204))))),"",(IF(M204=0,0,IF((AND(L204=0,K204&gt;0)),1,IF((AND(L204=0,K204&lt;0)),-1,M204/ABS(L204))))))</f>
        <v/>
      </c>
      <c r="O204" s="119" t="str">
        <f t="shared" ref="O204" si="59">IF(L204="","",IF(OR((ABS(M204)&gt;19800000),AND(ABS(M204)&gt;9900000,ABS(N204)&gt;0.1)),"YES","-"))</f>
        <v/>
      </c>
      <c r="P204" s="235"/>
    </row>
    <row r="205" spans="1:19" ht="12">
      <c r="A205" s="48"/>
      <c r="B205" s="48"/>
      <c r="C205" s="48"/>
      <c r="D205" s="48"/>
      <c r="E205" s="48"/>
      <c r="J205" s="9"/>
      <c r="L205" s="3"/>
      <c r="M205" s="3"/>
      <c r="N205" s="119"/>
      <c r="O205" s="119"/>
    </row>
    <row r="206" spans="1:19" ht="12">
      <c r="A206" s="48"/>
      <c r="B206" s="48" t="s">
        <v>624</v>
      </c>
      <c r="C206" s="48"/>
      <c r="D206" s="48"/>
      <c r="E206" s="48"/>
      <c r="J206" s="9"/>
      <c r="L206" s="3"/>
      <c r="M206" s="3"/>
      <c r="N206" s="119"/>
      <c r="O206" s="119"/>
    </row>
    <row r="207" spans="1:19" ht="12">
      <c r="A207" s="48"/>
      <c r="B207" s="48"/>
      <c r="C207" s="48" t="s">
        <v>1341</v>
      </c>
      <c r="D207" s="48"/>
      <c r="E207" s="48"/>
      <c r="J207" s="9"/>
      <c r="K207" s="10"/>
      <c r="L207" s="3" t="str">
        <f>IF(ISNA(HLOOKUP($G$2,'Prior Year Amounts'!$K$32:$GH$253,168,FALSE)),"",(HLOOKUP($G$2,'Prior Year Amounts'!$K$32:$GH$253,168,FALSE)))</f>
        <v/>
      </c>
      <c r="M207" s="3" t="str">
        <f t="shared" ref="M207:M215" si="60">IF(ISERR(K207-L207),"",(K207-L207))</f>
        <v/>
      </c>
      <c r="N207" s="119" t="str">
        <f t="shared" ref="N207:N214" si="61">IF(ISERR(IF(M207=0,0,IF((AND(L207=0,K207&gt;0)),1,IF((AND(L207=0,K207&lt;0)),-1,M207/ABS(L207))))),"",(IF(M207=0,0,IF((AND(L207=0,K207&gt;0)),1,IF((AND(L207=0,K207&lt;0)),-1,M207/ABS(L207))))))</f>
        <v/>
      </c>
      <c r="O207" s="119" t="str">
        <f t="shared" ref="O207:O214" si="62">IF(L207="","",IF(OR((ABS(M207)&gt;19800000),AND(ABS(M207)&gt;9900000,ABS(N207)&gt;0.1)),"YES","-"))</f>
        <v/>
      </c>
      <c r="P207" s="235"/>
    </row>
    <row r="208" spans="1:19" ht="12">
      <c r="A208" s="48"/>
      <c r="B208" s="48"/>
      <c r="C208" s="580" t="s">
        <v>1125</v>
      </c>
      <c r="D208" s="48"/>
      <c r="E208" s="48"/>
      <c r="J208" s="9"/>
      <c r="K208" s="10"/>
      <c r="L208" s="3" t="str">
        <f>IF(ISNA(HLOOKUP($G$2,'Prior Year Amounts'!$K$32:$GH$253,169,FALSE)),"",(HLOOKUP($G$2,'Prior Year Amounts'!$K$32:$GH$253,169,FALSE)))</f>
        <v/>
      </c>
      <c r="M208" s="3" t="str">
        <f t="shared" si="60"/>
        <v/>
      </c>
      <c r="N208" s="119" t="str">
        <f t="shared" si="61"/>
        <v/>
      </c>
      <c r="O208" s="119" t="str">
        <f t="shared" si="62"/>
        <v/>
      </c>
      <c r="P208" s="235"/>
      <c r="S208" s="802"/>
    </row>
    <row r="209" spans="1:19" ht="12.75">
      <c r="A209" s="48"/>
      <c r="B209" s="48"/>
      <c r="C209" s="48" t="s">
        <v>591</v>
      </c>
      <c r="D209" s="48"/>
      <c r="E209"/>
      <c r="F209"/>
      <c r="J209" s="9"/>
      <c r="K209" s="10"/>
      <c r="L209" s="3" t="str">
        <f>IF(ISNA(HLOOKUP($G$2,'Prior Year Amounts'!$K$32:$GH$253,170,FALSE)),"",(HLOOKUP($G$2,'Prior Year Amounts'!$K$32:$GH$253,170,FALSE)))</f>
        <v/>
      </c>
      <c r="M209" s="3" t="str">
        <f>IF(ISERR(K209-L209),"",(K209-L209))</f>
        <v/>
      </c>
      <c r="N209" s="119" t="str">
        <f t="shared" si="61"/>
        <v/>
      </c>
      <c r="O209" s="119" t="str">
        <f t="shared" si="62"/>
        <v/>
      </c>
      <c r="P209" s="235"/>
      <c r="S209" s="802"/>
    </row>
    <row r="210" spans="1:19" ht="12">
      <c r="A210" s="48"/>
      <c r="B210" s="48"/>
      <c r="C210" s="49" t="s">
        <v>604</v>
      </c>
      <c r="D210" s="48"/>
      <c r="E210" s="48"/>
      <c r="J210" s="9"/>
      <c r="K210" s="10"/>
      <c r="L210" s="3" t="str">
        <f>IF(ISNA(HLOOKUP($G$2,'Prior Year Amounts'!$K$32:$GH$253,171,FALSE)),"",(HLOOKUP($G$2,'Prior Year Amounts'!$K$32:$GH$253,171,FALSE)))</f>
        <v/>
      </c>
      <c r="M210" s="3" t="str">
        <f t="shared" si="60"/>
        <v/>
      </c>
      <c r="N210" s="119" t="str">
        <f t="shared" si="61"/>
        <v/>
      </c>
      <c r="O210" s="119" t="str">
        <f t="shared" si="62"/>
        <v/>
      </c>
      <c r="P210" s="235"/>
    </row>
    <row r="211" spans="1:19" ht="12">
      <c r="A211" s="48"/>
      <c r="B211" s="48"/>
      <c r="C211" s="49" t="s">
        <v>147</v>
      </c>
      <c r="D211" s="48"/>
      <c r="E211" s="48"/>
      <c r="J211" s="9"/>
      <c r="K211" s="10"/>
      <c r="L211" s="3" t="str">
        <f>IF(ISNA(HLOOKUP($G$2,'Prior Year Amounts'!$K$32:$GH$253,172,FALSE)),"",(HLOOKUP($G$2,'Prior Year Amounts'!$K$32:$GH$253,172,FALSE)))</f>
        <v/>
      </c>
      <c r="M211" s="3" t="str">
        <f t="shared" si="60"/>
        <v/>
      </c>
      <c r="N211" s="119" t="str">
        <f t="shared" si="61"/>
        <v/>
      </c>
      <c r="O211" s="119" t="str">
        <f t="shared" si="62"/>
        <v/>
      </c>
      <c r="P211" s="235"/>
    </row>
    <row r="212" spans="1:19" ht="12">
      <c r="A212" s="48"/>
      <c r="B212" s="48"/>
      <c r="C212" s="49" t="s">
        <v>1124</v>
      </c>
      <c r="D212" s="48"/>
      <c r="E212" s="48"/>
      <c r="J212" s="9"/>
      <c r="K212" s="10"/>
      <c r="L212" s="3" t="str">
        <f>IF(ISNA(HLOOKUP($G$2,'Prior Year Amounts'!$K$32:$GH$253,173,FALSE)),"",(HLOOKUP($G$2,'Prior Year Amounts'!$K$32:$GH$253,173,FALSE)))</f>
        <v/>
      </c>
      <c r="M212" s="3" t="str">
        <f t="shared" si="60"/>
        <v/>
      </c>
      <c r="N212" s="119" t="str">
        <f t="shared" si="61"/>
        <v/>
      </c>
      <c r="O212" s="119" t="str">
        <f t="shared" si="62"/>
        <v/>
      </c>
      <c r="P212" s="235"/>
    </row>
    <row r="213" spans="1:19" ht="12">
      <c r="A213" s="48"/>
      <c r="B213" s="48"/>
      <c r="C213" s="49" t="s">
        <v>1078</v>
      </c>
      <c r="D213" s="48"/>
      <c r="E213" s="245"/>
      <c r="F213" s="245"/>
      <c r="G213" s="1150" t="str">
        <f t="shared" ref="G213" si="63">IF(K213&lt;&gt;0,"Answer Required","N/A")</f>
        <v>N/A</v>
      </c>
      <c r="H213" s="1151" t="str">
        <f t="shared" ref="H213" si="64">IF(J213&lt;&gt;0,"Answer Required","N/A")</f>
        <v>N/A</v>
      </c>
      <c r="I213" s="1152" t="str">
        <f t="shared" ref="I213" si="65">IF(K213&lt;&gt;0,"Answer Required","N/A")</f>
        <v>N/A</v>
      </c>
      <c r="J213" s="9"/>
      <c r="K213" s="10"/>
      <c r="L213" s="3" t="str">
        <f>IF(ISNA(HLOOKUP($G$2,'Prior Year Amounts'!$K$32:$GH$253,174,FALSE)),"",(HLOOKUP($G$2,'Prior Year Amounts'!$K$32:$GH$253,174,FALSE)))</f>
        <v/>
      </c>
      <c r="M213" s="3" t="str">
        <f t="shared" si="60"/>
        <v/>
      </c>
      <c r="N213" s="119" t="str">
        <f t="shared" si="61"/>
        <v/>
      </c>
      <c r="O213" s="119" t="str">
        <f t="shared" si="62"/>
        <v/>
      </c>
      <c r="P213" s="235"/>
    </row>
    <row r="214" spans="1:19" ht="12">
      <c r="A214" s="49" t="s">
        <v>149</v>
      </c>
      <c r="B214" s="48"/>
      <c r="C214" s="48"/>
      <c r="D214" s="48"/>
      <c r="E214" s="48"/>
      <c r="J214" s="9"/>
      <c r="K214" s="45"/>
      <c r="L214" s="3" t="str">
        <f>IF(ISNA(HLOOKUP($G$2,'Prior Year Amounts'!$K$32:$GH$253,175,FALSE)),"",(HLOOKUP($G$2,'Prior Year Amounts'!$K$32:$GH$253,175,FALSE)))</f>
        <v/>
      </c>
      <c r="M214" s="3" t="str">
        <f t="shared" si="60"/>
        <v/>
      </c>
      <c r="N214" s="119" t="str">
        <f t="shared" si="61"/>
        <v/>
      </c>
      <c r="O214" s="119" t="str">
        <f t="shared" si="62"/>
        <v/>
      </c>
      <c r="P214" s="235"/>
    </row>
    <row r="215" spans="1:19" ht="12.75" thickBot="1">
      <c r="A215" s="47" t="s">
        <v>735</v>
      </c>
      <c r="B215" s="48"/>
      <c r="C215" s="48"/>
      <c r="D215" s="48"/>
      <c r="E215" s="48"/>
      <c r="K215" s="140">
        <f>IF(SUM(K202,K204,K207:K214)+K199=K122,SUM(K202,K204,K207:K214),"ERROR")</f>
        <v>0</v>
      </c>
      <c r="L215" s="140" t="str">
        <f>IF(G1="","",(IF(SUM(L202,L204,L207:L214)+L199=L122,SUM(L202,L204, L207:L214),"Error")))</f>
        <v/>
      </c>
      <c r="M215" s="140" t="str">
        <f t="shared" si="60"/>
        <v/>
      </c>
      <c r="N215" s="272" t="str">
        <f t="shared" ref="N215" si="66">IF(ISERR(IF(M215=0,0,IF((AND(L215=0,K215&gt;0)),1,IF((AND(L215=0,K215&lt;0)),-1,M215/ABS(L215))))),"",(IF(M215=0,0,IF((AND(L215=0,K215&gt;0)),1,IF((AND(L215=0,K215&lt;0)),-1,M215/ABS(L215))))))</f>
        <v/>
      </c>
      <c r="O215" s="119"/>
    </row>
    <row r="216" spans="1:19" ht="12.75" thickTop="1">
      <c r="A216" s="47"/>
      <c r="B216" s="48"/>
      <c r="C216" s="48"/>
      <c r="D216" s="48"/>
      <c r="E216" s="48"/>
      <c r="J216" s="142" t="s">
        <v>47</v>
      </c>
      <c r="K216" s="141">
        <f>(SUM(K202,K204,K207:K214)+K195+K197)-K122</f>
        <v>0</v>
      </c>
      <c r="L216" s="3"/>
      <c r="M216" s="3"/>
      <c r="N216" s="119"/>
      <c r="O216" s="119"/>
    </row>
    <row r="217" spans="1:19" ht="12">
      <c r="A217" s="48"/>
      <c r="B217" s="48"/>
      <c r="C217" s="48"/>
      <c r="D217" s="48"/>
      <c r="E217" s="48"/>
      <c r="M217" s="3"/>
      <c r="N217" s="119"/>
      <c r="O217" s="119"/>
    </row>
    <row r="218" spans="1:19" ht="12">
      <c r="A218" s="47" t="s">
        <v>507</v>
      </c>
      <c r="B218" s="48"/>
      <c r="C218" s="48"/>
      <c r="D218" s="48"/>
      <c r="E218" s="48"/>
      <c r="G218" s="1141" t="str">
        <f>G1</f>
        <v/>
      </c>
      <c r="H218" s="1142"/>
      <c r="I218" s="1142"/>
      <c r="J218" s="1143"/>
      <c r="M218" s="3"/>
      <c r="N218" s="119"/>
      <c r="O218" s="119"/>
    </row>
    <row r="219" spans="1:19" ht="25.5" customHeight="1">
      <c r="A219" s="47" t="s">
        <v>528</v>
      </c>
      <c r="B219" s="48"/>
      <c r="C219" s="48"/>
      <c r="D219" s="48"/>
      <c r="E219" s="48"/>
      <c r="G219" s="1144" t="str">
        <f>IF(G2="","",G2)</f>
        <v/>
      </c>
      <c r="H219" s="1145"/>
      <c r="I219" s="1145"/>
      <c r="J219" s="1146"/>
      <c r="M219" s="3"/>
      <c r="N219" s="119"/>
      <c r="O219" s="119"/>
    </row>
    <row r="220" spans="1:19" ht="12">
      <c r="A220" s="47"/>
      <c r="B220" s="48"/>
      <c r="C220" s="48"/>
      <c r="D220" s="48"/>
      <c r="E220" s="48"/>
      <c r="M220" s="3"/>
      <c r="N220" s="119"/>
      <c r="O220" s="119"/>
    </row>
    <row r="221" spans="1:19" ht="15.75" customHeight="1">
      <c r="A221" s="46" t="s">
        <v>622</v>
      </c>
      <c r="B221" s="48"/>
      <c r="C221" s="48"/>
      <c r="D221" s="48"/>
      <c r="E221" s="48"/>
      <c r="M221" s="3"/>
      <c r="N221" s="119"/>
      <c r="O221" s="1138" t="s">
        <v>937</v>
      </c>
    </row>
    <row r="222" spans="1:19" ht="15.75" customHeight="1">
      <c r="A222" s="46" t="str">
        <f>A35</f>
        <v>For the Year Ended June 30, 2024</v>
      </c>
      <c r="B222" s="48"/>
      <c r="C222" s="48"/>
      <c r="D222" s="48"/>
      <c r="E222" s="48"/>
      <c r="M222" s="3"/>
      <c r="N222" s="119"/>
      <c r="O222" s="1139"/>
    </row>
    <row r="223" spans="1:19" ht="15.75">
      <c r="A223" s="46"/>
      <c r="B223" s="48"/>
      <c r="C223" s="48"/>
      <c r="D223" s="48"/>
      <c r="E223" s="48"/>
      <c r="J223" s="42" t="s">
        <v>468</v>
      </c>
      <c r="K223" s="43"/>
      <c r="M223" s="3"/>
      <c r="N223" s="119"/>
      <c r="O223" s="1139"/>
      <c r="P223" s="418" t="s">
        <v>749</v>
      </c>
    </row>
    <row r="224" spans="1:19" ht="13.5" thickBot="1">
      <c r="A224" s="240"/>
      <c r="B224" s="240"/>
      <c r="C224" s="240"/>
      <c r="D224" s="240"/>
      <c r="E224" s="240"/>
      <c r="F224" s="116"/>
      <c r="G224" s="1147" t="s">
        <v>274</v>
      </c>
      <c r="H224" s="1147"/>
      <c r="I224" s="1148"/>
      <c r="J224" s="401" t="s">
        <v>615</v>
      </c>
      <c r="K224" s="44" t="s">
        <v>205</v>
      </c>
      <c r="L224" s="44" t="s">
        <v>38</v>
      </c>
      <c r="M224" s="44" t="s">
        <v>605</v>
      </c>
      <c r="N224" s="44" t="s">
        <v>606</v>
      </c>
      <c r="O224" s="1140"/>
      <c r="P224" s="419" t="s">
        <v>750</v>
      </c>
    </row>
    <row r="225" spans="1:16" ht="12.75" customHeight="1">
      <c r="A225" s="47" t="s">
        <v>623</v>
      </c>
      <c r="B225" s="48"/>
      <c r="C225" s="48"/>
      <c r="D225" s="48"/>
      <c r="E225" s="48"/>
      <c r="M225" s="3"/>
      <c r="N225" s="119"/>
      <c r="O225" s="119"/>
    </row>
    <row r="226" spans="1:16" ht="12">
      <c r="A226" s="49" t="s">
        <v>625</v>
      </c>
      <c r="B226" s="48"/>
      <c r="C226" s="48"/>
      <c r="D226" s="48"/>
      <c r="E226" s="48"/>
      <c r="K226" s="10"/>
      <c r="L226" s="3" t="str">
        <f>IF(ISNA(HLOOKUP($G$2,'Prior Year Amounts'!$K$32:$GH$253,186,FALSE)),"",(HLOOKUP($G$2,'Prior Year Amounts'!$K$32:$GH$253,186,FALSE)))</f>
        <v/>
      </c>
      <c r="M226" s="3" t="str">
        <f>IF(ISERR(K226-L226),"",(K226-L226))</f>
        <v/>
      </c>
      <c r="N226" s="119" t="str">
        <f>IF(ISERR(IF(M226=0,0,IF((AND(L226=0,K226&gt;0)),1,IF((AND(L226=0,K226&lt;0)),-1,M226/ABS(L226))))),"",(IF(M226=0,0,IF((AND(L226=0,K226&gt;0)),1,IF((AND(L226=0,K226&lt;0)),-1,M226/ABS(L226))))))</f>
        <v/>
      </c>
      <c r="O226" s="119" t="str">
        <f t="shared" ref="O226:O229" si="67">IF(L226="","",IF(OR((ABS(M226)&gt;19800000),AND(ABS(M226)&gt;9900000,ABS(N226)&gt;0.1)),"YES","-"))</f>
        <v/>
      </c>
      <c r="P226" s="235"/>
    </row>
    <row r="227" spans="1:16" ht="12">
      <c r="A227" s="49" t="s">
        <v>626</v>
      </c>
      <c r="B227" s="48"/>
      <c r="C227" s="48"/>
      <c r="D227" s="48"/>
      <c r="E227" s="48"/>
      <c r="K227" s="10"/>
      <c r="L227" s="3" t="str">
        <f>IF(ISNA(HLOOKUP($G$2,'Prior Year Amounts'!$K$32:$GH$253,187,FALSE)),"",(HLOOKUP($G$2,'Prior Year Amounts'!$K$32:$GH$253,187,FALSE)))</f>
        <v/>
      </c>
      <c r="M227" s="3" t="str">
        <f>IF(ISERR(K227-L227),"",(K227-L227))</f>
        <v/>
      </c>
      <c r="N227" s="119" t="str">
        <f>IF(ISERR(IF(M227=0,0,IF((AND(L227=0,K227&gt;0)),1,IF((AND(L227=0,K227&lt;0)),-1,M227/ABS(L227))))),"",(IF(M227=0,0,IF((AND(L227=0,K227&gt;0)),1,IF((AND(L227=0,K227&lt;0)),-1,M227/ABS(L227))))))</f>
        <v/>
      </c>
      <c r="O227" s="119" t="str">
        <f t="shared" si="67"/>
        <v/>
      </c>
      <c r="P227" s="235"/>
    </row>
    <row r="228" spans="1:16" ht="12">
      <c r="A228" s="49" t="s">
        <v>73</v>
      </c>
      <c r="B228" s="48"/>
      <c r="C228" s="48"/>
      <c r="D228" s="48"/>
      <c r="E228" s="48"/>
      <c r="K228" s="45"/>
      <c r="L228" s="3" t="str">
        <f>IF(ISNA(HLOOKUP($G$2,'Prior Year Amounts'!$K$32:$GH$253,188,FALSE)),"",(HLOOKUP($G$2,'Prior Year Amounts'!$K$32:$GH$253,188,FALSE)))</f>
        <v/>
      </c>
      <c r="M228" s="3" t="str">
        <f>IF(ISERR(K228-L228),"",(K228-L228))</f>
        <v/>
      </c>
      <c r="N228" s="119" t="str">
        <f>IF(ISERR(IF(M228=0,0,IF((AND(L228=0,K228&gt;0)),1,IF((AND(L228=0,K228&lt;0)),-1,M228/ABS(L228))))),"",(IF(M228=0,0,IF((AND(L228=0,K228&gt;0)),1,IF((AND(L228=0,K228&lt;0)),-1,M228/ABS(L228))))))</f>
        <v/>
      </c>
      <c r="O228" s="119" t="str">
        <f t="shared" si="67"/>
        <v/>
      </c>
      <c r="P228" s="235"/>
    </row>
    <row r="229" spans="1:16" ht="12">
      <c r="A229" s="51" t="s">
        <v>40</v>
      </c>
      <c r="B229" s="48"/>
      <c r="C229" s="48"/>
      <c r="D229" s="48"/>
      <c r="E229" s="48"/>
      <c r="K229" s="10"/>
      <c r="L229" s="3" t="str">
        <f>IF(ISNA(HLOOKUP($G$2,'Prior Year Amounts'!$K$32:$GH$253,189,FALSE)),"",(HLOOKUP($G$2,'Prior Year Amounts'!$K$32:$GH$253,189,FALSE)))</f>
        <v/>
      </c>
      <c r="M229" s="3" t="str">
        <f>IF(ISERR(K229-L229),"",(K229-L229))</f>
        <v/>
      </c>
      <c r="N229" s="119" t="str">
        <f>IF(ISERR(IF(M229=0,0,IF((AND(L229=0,K229&gt;0)),1,IF((AND(L229=0,K229&lt;0)),-1,M229/ABS(L229))))),"",(IF(M229=0,0,IF((AND(L229=0,K229&gt;0)),1,IF((AND(L229=0,K229&lt;0)),-1,M229/ABS(L229))))))</f>
        <v/>
      </c>
      <c r="O229" s="119" t="str">
        <f t="shared" si="67"/>
        <v/>
      </c>
      <c r="P229" s="235"/>
    </row>
    <row r="230" spans="1:16" ht="12">
      <c r="A230" s="48"/>
      <c r="B230" s="48" t="s">
        <v>464</v>
      </c>
      <c r="C230" s="48"/>
      <c r="D230" s="48"/>
      <c r="E230" s="48"/>
      <c r="K230" s="8">
        <f>SUM(K226:K229)</f>
        <v>0</v>
      </c>
      <c r="L230" s="8">
        <f>SUM(L226:L229)</f>
        <v>0</v>
      </c>
      <c r="M230" s="8">
        <f>SUM(M226:M229)</f>
        <v>0</v>
      </c>
      <c r="N230" s="139">
        <f>IF(M230=0,0,IF((AND(L230=0,K230&gt;0)),1,IF((AND(L230=0,K230&lt;0)),-1,M230/ABS(L230))))</f>
        <v>0</v>
      </c>
      <c r="O230" s="119"/>
    </row>
    <row r="231" spans="1:16" ht="12">
      <c r="A231" s="48"/>
      <c r="B231" s="48"/>
      <c r="C231" s="48"/>
      <c r="D231" s="48"/>
      <c r="E231" s="48"/>
      <c r="L231" s="3"/>
      <c r="M231" s="3"/>
      <c r="N231" s="119"/>
      <c r="O231" s="119"/>
    </row>
    <row r="232" spans="1:16" ht="12">
      <c r="A232" s="47" t="s">
        <v>627</v>
      </c>
      <c r="B232" s="48"/>
      <c r="C232" s="48"/>
      <c r="D232" s="48"/>
      <c r="E232" s="48"/>
      <c r="L232" s="3"/>
      <c r="M232" s="3"/>
      <c r="N232" s="119"/>
      <c r="O232" s="119"/>
    </row>
    <row r="233" spans="1:16" ht="12">
      <c r="A233" s="49" t="s">
        <v>463</v>
      </c>
      <c r="B233" s="48"/>
      <c r="C233" s="48"/>
      <c r="D233" s="48"/>
      <c r="E233" s="48"/>
      <c r="K233" s="10"/>
      <c r="L233" s="3" t="str">
        <f>IF(ISNA(HLOOKUP($G$2,'Prior Year Amounts'!$K$32:$GH$253,193,FALSE)),"",(HLOOKUP($G$2,'Prior Year Amounts'!$K$32:$GH$253,193,FALSE)))</f>
        <v/>
      </c>
      <c r="M233" s="3" t="str">
        <f>IF(ISERR(K233-L233),"",(K233-L233))</f>
        <v/>
      </c>
      <c r="N233" s="119" t="str">
        <f>IF(ISERR(IF(M233=0,0,IF((AND(L233=0,K233&gt;0)),1,IF((AND(L233=0,K233&lt;0)),-1,M233/ABS(L233))))),"",(IF(M233=0,0,IF((AND(L233=0,K233&gt;0)),1,IF((AND(L233=0,K233&lt;0)),-1,M233/ABS(L233))))))</f>
        <v/>
      </c>
      <c r="O233" s="119" t="str">
        <f t="shared" ref="O233:O235" si="68">IF(L233="","",IF(OR((ABS(M233)&gt;19800000),AND(ABS(M233)&gt;9900000,ABS(N233)&gt;0.1)),"YES","-"))</f>
        <v/>
      </c>
      <c r="P233" s="235"/>
    </row>
    <row r="234" spans="1:16" ht="12">
      <c r="A234" s="48" t="s">
        <v>423</v>
      </c>
      <c r="B234" s="48"/>
      <c r="C234" s="48"/>
      <c r="D234" s="48"/>
      <c r="E234" s="48"/>
      <c r="K234" s="10"/>
      <c r="L234" s="3" t="str">
        <f>IF(ISNA(HLOOKUP($G$2,'Prior Year Amounts'!$K$32:$GH$253,194,FALSE)),"",(HLOOKUP($G$2,'Prior Year Amounts'!$K$32:$GH$253,194,FALSE)))</f>
        <v/>
      </c>
      <c r="M234" s="3" t="str">
        <f>IF(ISERR(K234-L234),"",(K234-L234))</f>
        <v/>
      </c>
      <c r="N234" s="119" t="str">
        <f>IF(ISERR(IF(M234=0,0,IF((AND(L234=0,K234&gt;0)),1,IF((AND(L234=0,K234&lt;0)),-1,M234/ABS(L234))))),"",(IF(M234=0,0,IF((AND(L234=0,K234&gt;0)),1,IF((AND(L234=0,K234&lt;0)),-1,M234/ABS(L234))))))</f>
        <v/>
      </c>
      <c r="O234" s="119" t="str">
        <f t="shared" si="68"/>
        <v/>
      </c>
      <c r="P234" s="235"/>
    </row>
    <row r="235" spans="1:16" ht="12">
      <c r="A235" s="51" t="s">
        <v>39</v>
      </c>
      <c r="B235" s="48"/>
      <c r="C235" s="48"/>
      <c r="D235" s="48"/>
      <c r="E235" s="48"/>
      <c r="K235" s="45"/>
      <c r="L235" s="3" t="str">
        <f>IF(ISNA(HLOOKUP($G$2,'Prior Year Amounts'!$K$32:$GH$253,195,FALSE)),"",(HLOOKUP($G$2,'Prior Year Amounts'!$K$32:$GH$253,195,FALSE)))</f>
        <v/>
      </c>
      <c r="M235" s="3" t="str">
        <f>IF(ISERR(K235-L235),"",(K235-L235))</f>
        <v/>
      </c>
      <c r="N235" s="119" t="str">
        <f>IF(ISERR(IF(M235=0,0,IF((AND(L235=0,K235&gt;0)),1,IF((AND(L235=0,K235&lt;0)),-1,M235/ABS(L235))))),"",(IF(M235=0,0,IF((AND(L235=0,K235&gt;0)),1,IF((AND(L235=0,K235&lt;0)),-1,M235/ABS(L235))))))</f>
        <v/>
      </c>
      <c r="O235" s="119" t="str">
        <f t="shared" si="68"/>
        <v/>
      </c>
      <c r="P235" s="235"/>
    </row>
    <row r="236" spans="1:16" ht="12">
      <c r="A236" s="48"/>
      <c r="B236" s="48" t="s">
        <v>611</v>
      </c>
      <c r="C236" s="48"/>
      <c r="D236" s="48"/>
      <c r="E236" s="48"/>
      <c r="K236" s="8">
        <f>SUM(K233:K235)</f>
        <v>0</v>
      </c>
      <c r="L236" s="8">
        <f>SUM(L233:L235)</f>
        <v>0</v>
      </c>
      <c r="M236" s="8">
        <f>K236-L236</f>
        <v>0</v>
      </c>
      <c r="N236" s="139">
        <f>IF(M236=0,0,IF((AND(L236=0,K236&gt;0)),1,IF((AND(L236=0,K236&lt;0)),-1,M236/ABS(L236))))</f>
        <v>0</v>
      </c>
      <c r="O236" s="119"/>
    </row>
    <row r="237" spans="1:16" ht="12">
      <c r="A237" s="48"/>
      <c r="B237" s="48"/>
      <c r="C237" s="48"/>
      <c r="D237" s="48"/>
      <c r="E237" s="48"/>
      <c r="L237" s="3"/>
      <c r="M237" s="3"/>
      <c r="N237" s="119"/>
      <c r="O237" s="119"/>
    </row>
    <row r="238" spans="1:16" ht="12">
      <c r="A238" s="47" t="s">
        <v>462</v>
      </c>
      <c r="B238" s="48"/>
      <c r="C238" s="48"/>
      <c r="D238" s="48"/>
      <c r="E238" s="48"/>
      <c r="K238" s="8">
        <f>K230-K236</f>
        <v>0</v>
      </c>
      <c r="L238" s="8">
        <f>L230-L236</f>
        <v>0</v>
      </c>
      <c r="M238" s="8">
        <f>K238-L238</f>
        <v>0</v>
      </c>
      <c r="N238" s="139">
        <f>IF(M238=0,0,IF((AND(L238=0,K238&gt;0)),1,IF((AND(L238=0,K238&lt;0)),-1,M238/ABS(L238))))</f>
        <v>0</v>
      </c>
      <c r="O238" s="119"/>
    </row>
    <row r="239" spans="1:16" ht="12" hidden="1">
      <c r="A239" s="48"/>
      <c r="B239" s="48"/>
      <c r="C239" s="48"/>
      <c r="D239" s="48"/>
      <c r="E239" s="48"/>
      <c r="L239" s="3"/>
      <c r="M239" s="3">
        <f>K239-L239</f>
        <v>0</v>
      </c>
      <c r="N239" s="119" t="str">
        <f>IF(M239=0,"0%",M239/ABS(L239))</f>
        <v>0%</v>
      </c>
      <c r="O239" s="119"/>
    </row>
    <row r="240" spans="1:16" ht="12">
      <c r="A240" s="48"/>
      <c r="B240" s="48"/>
      <c r="C240" s="48"/>
      <c r="D240" s="48"/>
      <c r="E240" s="48"/>
      <c r="L240" s="3"/>
      <c r="M240" s="3"/>
      <c r="N240" s="119"/>
      <c r="O240" s="119"/>
    </row>
    <row r="241" spans="1:18" ht="12">
      <c r="A241" s="47" t="s">
        <v>182</v>
      </c>
      <c r="B241" s="48"/>
      <c r="C241" s="48"/>
      <c r="D241" s="48"/>
      <c r="E241" s="48"/>
      <c r="L241" s="3"/>
      <c r="M241" s="3"/>
      <c r="N241" s="119"/>
      <c r="O241" s="119"/>
    </row>
    <row r="242" spans="1:18" ht="12">
      <c r="A242" s="48"/>
      <c r="B242" s="49" t="s">
        <v>595</v>
      </c>
      <c r="C242" s="48"/>
      <c r="D242" s="48"/>
      <c r="E242" s="48"/>
      <c r="K242" s="10"/>
      <c r="L242" s="3" t="str">
        <f>IF(ISNA(HLOOKUP($G$2,'Prior Year Amounts'!$K$32:$GH$253,202,FALSE)),"",(HLOOKUP($G$2,'Prior Year Amounts'!$K$32:$GH$253,202,FALSE)))</f>
        <v/>
      </c>
      <c r="M242" s="3" t="str">
        <f t="shared" ref="M242:M252" si="69">IF(ISERR(K242-L242),"",(K242-L242))</f>
        <v/>
      </c>
      <c r="N242" s="119" t="str">
        <f t="shared" ref="N242:N252" si="70">IF(ISERR(IF(M242=0,0,IF((AND(L242=0,K242&gt;0)),1,IF((AND(L242=0,K242&lt;0)),-1,M242/ABS(L242))))),"",(IF(M242=0,0,IF((AND(L242=0,K242&gt;0)),1,IF((AND(L242=0,K242&lt;0)),-1,M242/ABS(L242))))))</f>
        <v/>
      </c>
      <c r="O242" s="119" t="str">
        <f t="shared" ref="O242:O255" si="71">IF(L242="","",IF(OR((ABS(M242)&gt;19800000),AND(ABS(M242)&gt;9900000,ABS(N242)&gt;0.1)),"YES","-"))</f>
        <v/>
      </c>
      <c r="P242" s="235"/>
    </row>
    <row r="243" spans="1:18" ht="12">
      <c r="A243" s="48"/>
      <c r="B243" s="49" t="s">
        <v>596</v>
      </c>
      <c r="C243" s="48"/>
      <c r="D243" s="48"/>
      <c r="E243" s="48"/>
      <c r="K243" s="10"/>
      <c r="L243" s="3" t="str">
        <f>IF(ISNA(HLOOKUP($G$2,'Prior Year Amounts'!$K$32:$GH$253,203,FALSE)),"",(HLOOKUP($G$2,'Prior Year Amounts'!$K$32:$GH$253,203,FALSE)))</f>
        <v/>
      </c>
      <c r="M243" s="3" t="str">
        <f t="shared" si="69"/>
        <v/>
      </c>
      <c r="N243" s="119" t="str">
        <f t="shared" si="70"/>
        <v/>
      </c>
      <c r="O243" s="119" t="str">
        <f t="shared" si="71"/>
        <v/>
      </c>
    </row>
    <row r="244" spans="1:18" ht="12">
      <c r="A244" s="48"/>
      <c r="B244" s="49" t="s">
        <v>597</v>
      </c>
      <c r="C244" s="48"/>
      <c r="D244" s="48"/>
      <c r="E244" s="48"/>
      <c r="K244" s="10"/>
      <c r="L244" s="3" t="str">
        <f>IF(ISNA(HLOOKUP($G$2,'Prior Year Amounts'!$K$32:$GH$253,204,FALSE)),"",(HLOOKUP($G$2,'Prior Year Amounts'!$K$32:$GH$253,204,FALSE)))</f>
        <v/>
      </c>
      <c r="M244" s="3" t="str">
        <f t="shared" si="69"/>
        <v/>
      </c>
      <c r="N244" s="119" t="str">
        <f t="shared" si="70"/>
        <v/>
      </c>
      <c r="O244" s="119" t="str">
        <f t="shared" si="71"/>
        <v/>
      </c>
      <c r="P244" s="235"/>
    </row>
    <row r="245" spans="1:18" ht="12">
      <c r="A245" s="48"/>
      <c r="B245" s="49" t="s">
        <v>1867</v>
      </c>
      <c r="C245" s="48"/>
      <c r="D245" s="48"/>
      <c r="E245" s="48"/>
      <c r="K245" s="10"/>
      <c r="L245" s="3" t="str">
        <f>IF(ISNA(HLOOKUP($G$2,'Prior Year Amounts'!$K$32:$GH$253,200,FALSE)),"",(HLOOKUP($G$2,'Prior Year Amounts'!$K$32:$GH$253,200,FALSE)))</f>
        <v/>
      </c>
      <c r="M245" s="3" t="str">
        <f>IF(ISERR(K245-L245),"",(K245-L245))</f>
        <v/>
      </c>
      <c r="N245" s="119" t="str">
        <f>IF(ISERR(IF(M245=0,0,IF((AND(L245=0,K245&gt;0)),1,IF((AND(L245=0,K245&lt;0)),-1,M245/ABS(L245))))),"",(IF(M245=0,0,IF((AND(L245=0,K245&gt;0)),1,IF((AND(L245=0,K245&lt;0)),-1,M245/ABS(L245))))))</f>
        <v/>
      </c>
      <c r="O245" s="119" t="str">
        <f t="shared" si="71"/>
        <v/>
      </c>
      <c r="P245" s="235"/>
      <c r="R245" s="119"/>
    </row>
    <row r="246" spans="1:18" ht="12">
      <c r="A246" s="48"/>
      <c r="B246" s="51" t="s">
        <v>40</v>
      </c>
      <c r="C246" s="48"/>
      <c r="D246" s="48"/>
      <c r="E246" s="48"/>
      <c r="K246" s="10"/>
      <c r="L246" s="3" t="str">
        <f>IF(ISNA(HLOOKUP($G$2,'Prior Year Amounts'!$K$32:$GH$253,205,FALSE)),"",(HLOOKUP($G$2,'Prior Year Amounts'!$K$32:$GH$253,205,FALSE)))</f>
        <v/>
      </c>
      <c r="M246" s="3" t="str">
        <f t="shared" si="69"/>
        <v/>
      </c>
      <c r="N246" s="119" t="str">
        <f t="shared" si="70"/>
        <v/>
      </c>
      <c r="O246" s="119" t="str">
        <f t="shared" si="71"/>
        <v/>
      </c>
      <c r="P246" s="235"/>
    </row>
    <row r="247" spans="1:18" ht="12">
      <c r="A247" s="48"/>
      <c r="B247" s="49" t="s">
        <v>614</v>
      </c>
      <c r="C247" s="48"/>
      <c r="D247" s="48"/>
      <c r="E247" s="48"/>
      <c r="K247" s="45"/>
      <c r="L247" s="3" t="str">
        <f>IF(ISNA(HLOOKUP($G$2,'Prior Year Amounts'!$K$32:$GH$253,206,FALSE)),"",(HLOOKUP($G$2,'Prior Year Amounts'!$K$32:$GH$253,206,FALSE)))</f>
        <v/>
      </c>
      <c r="M247" s="3" t="str">
        <f t="shared" si="69"/>
        <v/>
      </c>
      <c r="N247" s="119" t="str">
        <f t="shared" si="70"/>
        <v/>
      </c>
      <c r="O247" s="119" t="str">
        <f t="shared" si="71"/>
        <v/>
      </c>
      <c r="P247" s="235"/>
    </row>
    <row r="248" spans="1:18" ht="12">
      <c r="A248" s="48"/>
      <c r="B248" s="49" t="s">
        <v>438</v>
      </c>
      <c r="C248" s="48"/>
      <c r="D248" s="48"/>
      <c r="E248" s="48"/>
      <c r="K248" s="10"/>
      <c r="L248" s="3" t="str">
        <f>IF(ISNA(HLOOKUP($G$2,'Prior Year Amounts'!$K$32:$GH$253,207,FALSE)),"",(HLOOKUP($G$2,'Prior Year Amounts'!$K$32:$GH$253,207,FALSE)))</f>
        <v/>
      </c>
      <c r="M248" s="3" t="str">
        <f t="shared" si="69"/>
        <v/>
      </c>
      <c r="N248" s="119" t="str">
        <f t="shared" si="70"/>
        <v/>
      </c>
      <c r="O248" s="119" t="str">
        <f t="shared" si="71"/>
        <v/>
      </c>
      <c r="P248" s="235"/>
    </row>
    <row r="249" spans="1:18" ht="12">
      <c r="A249" s="48"/>
      <c r="B249" s="49" t="s">
        <v>598</v>
      </c>
      <c r="C249" s="48"/>
      <c r="D249" s="48"/>
      <c r="E249" s="48"/>
      <c r="K249" s="10"/>
      <c r="L249" s="3" t="str">
        <f>IF(ISNA(HLOOKUP($G$2,'Prior Year Amounts'!$K$32:$GH$253,208,FALSE)),"",(HLOOKUP($G$2,'Prior Year Amounts'!$K$32:$GH$253,208,FALSE)))</f>
        <v/>
      </c>
      <c r="M249" s="3" t="str">
        <f t="shared" si="69"/>
        <v/>
      </c>
      <c r="N249" s="119" t="str">
        <f t="shared" si="70"/>
        <v/>
      </c>
      <c r="O249" s="119" t="str">
        <f t="shared" si="71"/>
        <v/>
      </c>
      <c r="P249" s="235"/>
    </row>
    <row r="250" spans="1:18" ht="0.75" customHeight="1">
      <c r="A250" s="48"/>
      <c r="B250" s="757" t="s">
        <v>511</v>
      </c>
      <c r="C250" s="48"/>
      <c r="D250" s="48"/>
      <c r="E250" s="48"/>
      <c r="K250" s="10"/>
      <c r="L250" s="3"/>
      <c r="M250" s="3">
        <f t="shared" si="69"/>
        <v>0</v>
      </c>
      <c r="N250" s="119">
        <f t="shared" si="70"/>
        <v>0</v>
      </c>
      <c r="O250" s="119" t="str">
        <f t="shared" si="71"/>
        <v/>
      </c>
      <c r="P250" s="235"/>
    </row>
    <row r="251" spans="1:18" ht="12">
      <c r="A251" s="48"/>
      <c r="B251" s="49" t="s">
        <v>639</v>
      </c>
      <c r="C251" s="48"/>
      <c r="D251" s="48"/>
      <c r="E251" s="48"/>
      <c r="G251" s="1150" t="str">
        <f t="shared" ref="G251" si="72">IF(K251&lt;&gt;0,"Answer Required","N/A")</f>
        <v>N/A</v>
      </c>
      <c r="H251" s="1151" t="str">
        <f t="shared" ref="H251" si="73">IF(J251&lt;&gt;0,"Answer Required","N/A")</f>
        <v>N/A</v>
      </c>
      <c r="I251" s="1152" t="str">
        <f t="shared" ref="I251" si="74">IF(K251&lt;&gt;0,"Answer Required","N/A")</f>
        <v>N/A</v>
      </c>
      <c r="K251" s="10"/>
      <c r="L251" s="3" t="str">
        <f>IF(ISNA(HLOOKUP($G$2,'Prior Year Amounts'!$K$32:$GH$253,210,FALSE)),"",(HLOOKUP($G$2,'Prior Year Amounts'!$K$32:$GH$253,210,FALSE)))</f>
        <v/>
      </c>
      <c r="M251" s="3" t="str">
        <f t="shared" si="69"/>
        <v/>
      </c>
      <c r="N251" s="119" t="str">
        <f t="shared" si="70"/>
        <v/>
      </c>
      <c r="O251" s="119" t="str">
        <f t="shared" si="71"/>
        <v/>
      </c>
      <c r="P251" s="235"/>
    </row>
    <row r="252" spans="1:18" ht="12">
      <c r="A252" s="48"/>
      <c r="B252" s="49" t="s">
        <v>678</v>
      </c>
      <c r="C252" s="48"/>
      <c r="D252" s="48"/>
      <c r="E252" s="48"/>
      <c r="G252" s="1150" t="str">
        <f t="shared" ref="G252" si="75">IF(K252&lt;&gt;0,"Answer Required","N/A")</f>
        <v>N/A</v>
      </c>
      <c r="H252" s="1151" t="str">
        <f t="shared" ref="H252" si="76">IF(J252&lt;&gt;0,"Answer Required","N/A")</f>
        <v>N/A</v>
      </c>
      <c r="I252" s="1152" t="str">
        <f t="shared" ref="I252" si="77">IF(K252&lt;&gt;0,"Answer Required","N/A")</f>
        <v>N/A</v>
      </c>
      <c r="K252" s="10"/>
      <c r="L252" s="3" t="str">
        <f>IF(ISNA(HLOOKUP($G$2,'Prior Year Amounts'!$K$32:$GH$253,211,FALSE)),"",(HLOOKUP($G$2,'Prior Year Amounts'!$K$32:$GH$253,211,FALSE)))</f>
        <v/>
      </c>
      <c r="M252" s="3" t="str">
        <f t="shared" si="69"/>
        <v/>
      </c>
      <c r="N252" s="119" t="str">
        <f t="shared" si="70"/>
        <v/>
      </c>
      <c r="O252" s="119" t="str">
        <f t="shared" si="71"/>
        <v/>
      </c>
      <c r="P252" s="235"/>
    </row>
    <row r="253" spans="1:18" ht="12.75" hidden="1" customHeight="1">
      <c r="A253" s="48"/>
      <c r="B253" s="422" t="s">
        <v>600</v>
      </c>
      <c r="C253" s="48"/>
      <c r="D253" s="48"/>
      <c r="E253" s="48"/>
      <c r="K253" s="10"/>
      <c r="L253" s="3"/>
      <c r="M253" s="3"/>
      <c r="N253" s="119"/>
      <c r="O253" s="119"/>
      <c r="P253" s="235"/>
    </row>
    <row r="254" spans="1:18" ht="12.75" hidden="1" customHeight="1">
      <c r="A254" s="48"/>
      <c r="B254" s="48"/>
      <c r="C254" s="48"/>
      <c r="D254" s="48"/>
      <c r="E254" s="48"/>
      <c r="K254" s="461"/>
      <c r="L254" s="3"/>
      <c r="M254" s="3"/>
      <c r="N254" s="119"/>
      <c r="O254" s="119" t="str">
        <f t="shared" si="71"/>
        <v/>
      </c>
      <c r="P254" s="235"/>
    </row>
    <row r="255" spans="1:18" ht="12.75" customHeight="1">
      <c r="A255" s="48"/>
      <c r="B255" s="49" t="s">
        <v>1620</v>
      </c>
      <c r="C255" s="48"/>
      <c r="D255" s="48"/>
      <c r="E255" s="48"/>
      <c r="K255" s="101"/>
      <c r="L255" s="3"/>
      <c r="M255" s="3"/>
      <c r="N255" s="119"/>
      <c r="O255" s="119" t="str">
        <f t="shared" si="71"/>
        <v/>
      </c>
      <c r="P255" s="235"/>
    </row>
    <row r="256" spans="1:18" ht="12" hidden="1" customHeight="1">
      <c r="A256" s="48"/>
      <c r="B256" s="757" t="s">
        <v>202</v>
      </c>
      <c r="C256" s="48"/>
      <c r="D256" s="48"/>
      <c r="E256" s="48"/>
      <c r="K256" s="921"/>
      <c r="L256" s="3"/>
      <c r="M256" s="3"/>
      <c r="N256" s="119"/>
      <c r="O256" s="119"/>
      <c r="P256" s="235"/>
    </row>
    <row r="257" spans="1:15" ht="12">
      <c r="A257" s="48"/>
      <c r="B257" s="48"/>
      <c r="C257" s="48" t="s">
        <v>599</v>
      </c>
      <c r="D257" s="48"/>
      <c r="E257" s="48"/>
      <c r="K257" s="8">
        <f>SUM(K242:K256)</f>
        <v>0</v>
      </c>
      <c r="L257" s="8">
        <f>SUM(L242:L256)</f>
        <v>0</v>
      </c>
      <c r="M257" s="8">
        <f>IF(ISERR(K257-L257),"",(K257-L257))</f>
        <v>0</v>
      </c>
      <c r="N257" s="139">
        <f>IF(ISERR(IF(M257=0,0,IF((AND(L257=0,K257&gt;0)),1,IF((AND(L257=0,K257&lt;0)),-1,M257/ABS(L257))))),"",(IF(M257=0,0,IF((AND(L257=0,K257&gt;0)),1,IF((AND(L257=0,K257&lt;0)),-1,M257/ABS(L257))))))</f>
        <v>0</v>
      </c>
      <c r="O257" s="119"/>
    </row>
    <row r="258" spans="1:15" ht="12">
      <c r="A258" s="48"/>
      <c r="B258" s="48"/>
      <c r="C258" s="48"/>
      <c r="D258" s="48"/>
      <c r="E258" s="48"/>
      <c r="L258" s="3"/>
      <c r="M258" s="3"/>
      <c r="N258" s="3"/>
      <c r="O258" s="119"/>
    </row>
    <row r="259" spans="1:15" ht="12">
      <c r="A259" s="49" t="s">
        <v>736</v>
      </c>
      <c r="B259" s="48"/>
      <c r="C259" s="48"/>
      <c r="D259" s="48"/>
      <c r="E259" s="48"/>
      <c r="K259" s="8">
        <f>K238+K257</f>
        <v>0</v>
      </c>
      <c r="L259" s="8">
        <f>IF(ISERR(L238+L257),"",(L238+L257))</f>
        <v>0</v>
      </c>
      <c r="M259" s="8">
        <f>IF(ISERR(K259-L259),"",(K259-L259))</f>
        <v>0</v>
      </c>
      <c r="N259" s="139">
        <f>IF(ISERR(IF(M259=0,0,IF((AND(L259=0,K259&gt;0)),1,IF((AND(L259=0,K259&lt;0)),-1,M259/ABS(L259))))),"",(IF(M259=0,0,IF((AND(L259=0,K259&gt;0)),1,IF((AND(L259=0,K259&lt;0)),-1,M259/ABS(L259))))))</f>
        <v>0</v>
      </c>
      <c r="O259" s="119"/>
    </row>
    <row r="260" spans="1:15" ht="12">
      <c r="A260" s="48"/>
      <c r="B260" s="48"/>
      <c r="C260" s="48"/>
      <c r="D260" s="48"/>
      <c r="E260" s="48"/>
      <c r="L260" s="3"/>
      <c r="M260" s="3"/>
      <c r="N260" s="3"/>
      <c r="O260" s="119"/>
    </row>
    <row r="261" spans="1:15" ht="12">
      <c r="A261" s="49" t="s">
        <v>737</v>
      </c>
      <c r="B261" s="48"/>
      <c r="C261" s="48"/>
      <c r="D261" s="48"/>
      <c r="E261" s="48"/>
      <c r="J261" s="56" t="s">
        <v>83</v>
      </c>
      <c r="K261" s="8">
        <f>IF(ISNA('Tab 6 - Restatements'!D34),"",('Tab 6 - Restatements'!D34))</f>
        <v>0</v>
      </c>
      <c r="L261" s="8" t="str">
        <f>IF(ISNA(HLOOKUP($G$2,'Prior Year Amounts'!$K$32:$GH$253,220,FALSE)),"",(HLOOKUP($G$2,'Prior Year Amounts'!$K$32:$GH$253,220,FALSE)))</f>
        <v/>
      </c>
      <c r="M261" s="8" t="str">
        <f>IF(ISERR(K261-L261),"",(K261-L261))</f>
        <v/>
      </c>
      <c r="N261" s="139" t="str">
        <f>IF(ISERR(IF(M261=0,0,IF((AND(L261=0,K261&gt;0)),1,IF((AND(L261=0,K261&lt;0)),-1,M261/ABS(L261))))),"",(IF(M261=0,0,IF((AND(L261=0,K261&gt;0)),1,IF((AND(L261=0,K261&lt;0)),-1,M261/ABS(L261))))))</f>
        <v/>
      </c>
      <c r="O261" s="119"/>
    </row>
    <row r="262" spans="1:15" ht="12">
      <c r="A262" s="48"/>
      <c r="B262" s="48"/>
      <c r="C262" s="48"/>
      <c r="D262" s="48"/>
      <c r="E262" s="48"/>
      <c r="J262" s="55"/>
      <c r="L262" s="3"/>
      <c r="M262" s="3"/>
      <c r="N262" s="3"/>
      <c r="O262" s="119"/>
    </row>
    <row r="263" spans="1:15" ht="12.75" thickBot="1">
      <c r="A263" s="49" t="s">
        <v>738</v>
      </c>
      <c r="B263" s="48"/>
      <c r="C263" s="48"/>
      <c r="D263" s="48"/>
      <c r="E263" s="48"/>
      <c r="J263" s="56" t="s">
        <v>84</v>
      </c>
      <c r="K263" s="140">
        <f>IF(SUM(K259,K261)=K215,SUM(K259,K261),"ERROR")</f>
        <v>0</v>
      </c>
      <c r="L263" s="140" t="str">
        <f>IF(G1="","",(IF(SUM(L259,L261)=L215,SUM(L259,L261),"ERROR")))</f>
        <v/>
      </c>
      <c r="M263" s="140" t="str">
        <f>IF(ISERR(K263-L263),"",(K263-L263))</f>
        <v/>
      </c>
      <c r="N263" s="579" t="str">
        <f>IF(ISERR(IF(M263=0,0,IF((AND(L263=0,K263&gt;0)),1,IF((AND(L263=0,K263&lt;0)),-1,M263/ABS(L263))))),"",(IF(M263=0,0,IF((AND(L263=0,K263&gt;0)),1,IF((AND(L263=0,K263&lt;0)),-1,M263/ABS(L263))))))</f>
        <v/>
      </c>
      <c r="O263" s="119"/>
    </row>
    <row r="264" spans="1:15" ht="12.75" thickTop="1">
      <c r="A264" s="48"/>
      <c r="B264" s="48"/>
      <c r="C264" s="48"/>
      <c r="D264" s="48"/>
      <c r="E264" s="48"/>
      <c r="J264" s="142" t="s">
        <v>47</v>
      </c>
      <c r="K264" s="141">
        <f>SUM(K259,K261)-K215</f>
        <v>0</v>
      </c>
    </row>
    <row r="265" spans="1:15" ht="12">
      <c r="A265" s="48"/>
      <c r="B265" s="48"/>
      <c r="C265" s="48"/>
      <c r="D265" s="48"/>
      <c r="E265" s="48"/>
    </row>
    <row r="271" spans="1:15" hidden="1"/>
    <row r="272" spans="1:15" hidden="1"/>
    <row r="273" hidden="1"/>
    <row r="274" hidden="1"/>
  </sheetData>
  <sheetProtection algorithmName="SHA-512" hashValue="Rz7UK4Ii76Zmp/h9WjeUb/zkMXNgTVnJ8HZEMcsRhBDyJPqQ1wJxUF8Wfjz0q979z97eclx1htoza1KGLJ1qDg==" saltValue="k/aIvPxy9jpVfDzcLdfioQ==" spinCount="100000" sheet="1" objects="1" scenarios="1"/>
  <autoFilter ref="AA10:AB11" xr:uid="{00000000-0009-0000-0000-000000000000}"/>
  <sortState xmlns:xlrd2="http://schemas.microsoft.com/office/spreadsheetml/2017/richdata2" ref="AA11:AB36">
    <sortCondition ref="AA11:AA36"/>
  </sortState>
  <customSheetViews>
    <customSheetView guid="{FBB78E72-3FBC-498A-91AC-D094BCE26D3C}" scale="85" showPageBreaks="1" showGridLines="0" printArea="1" hiddenRows="1" view="pageBreakPreview" topLeftCell="A4">
      <selection activeCell="F55" sqref="F55"/>
      <rowBreaks count="2" manualBreakCount="2">
        <brk id="119" max="15" man="1"/>
        <brk id="207" max="16383" man="1"/>
      </rowBreaks>
      <pageMargins left="0.25" right="0.25" top="0.65" bottom="0.78" header="0.27" footer="0.38"/>
      <pageSetup scale="55"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cale="85" showPageBreaks="1" showGridLines="0" printArea="1" hiddenRows="1" view="pageBreakPreview" topLeftCell="A4">
      <selection activeCell="F55" sqref="F55"/>
      <rowBreaks count="2" manualBreakCount="2">
        <brk id="119" max="15" man="1"/>
        <brk id="207" max="16383" man="1"/>
      </rowBreaks>
      <pageMargins left="0.25" right="0.25" top="0.65" bottom="0.78" header="0.27" footer="0.38"/>
      <pageSetup scale="55"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cale="85" showPageBreaks="1" showGridLines="0" printArea="1" hiddenRows="1" view="pageBreakPreview" topLeftCell="A201">
      <selection activeCell="F120" sqref="F120"/>
      <rowBreaks count="2" manualBreakCount="2">
        <brk id="119" max="15" man="1"/>
        <brk id="207" max="16383" man="1"/>
      </rowBreaks>
      <pageMargins left="0.25" right="0.25" top="0.65" bottom="0.78" header="0.27" footer="0.38"/>
      <pageSetup scale="55"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hiddenColumns="1" view="pageBreakPreview" topLeftCell="A118">
      <rowBreaks count="2" manualBreakCount="2">
        <brk id="120" max="15" man="1"/>
        <brk id="208" max="16383" man="1"/>
      </rowBreaks>
      <pageMargins left="0.25" right="0.25" top="0.65" bottom="0.78" header="0.27" footer="0.38"/>
      <pageSetup scale="5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PageBreaks="1" showGridLines="0" printArea="1" hiddenRows="1" hiddenColumns="1" view="pageBreakPreview" topLeftCell="A227">
      <selection activeCell="O182" sqref="O182"/>
      <rowBreaks count="2" manualBreakCount="2">
        <brk id="120" max="15" man="1"/>
        <brk id="210" max="16383" man="1"/>
      </rowBreaks>
      <pageMargins left="0.25" right="0.25" top="0.65" bottom="0.78" header="0.27" footer="0.38"/>
      <pageSetup scale="5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34">
    <mergeCell ref="G251:I251"/>
    <mergeCell ref="G192:I192"/>
    <mergeCell ref="A10:J32"/>
    <mergeCell ref="G68:I68"/>
    <mergeCell ref="G252:I252"/>
    <mergeCell ref="G149:I149"/>
    <mergeCell ref="G136:I136"/>
    <mergeCell ref="G213:I213"/>
    <mergeCell ref="G174:I174"/>
    <mergeCell ref="G170:I170"/>
    <mergeCell ref="G66:I66"/>
    <mergeCell ref="G70:I70"/>
    <mergeCell ref="G139:I139"/>
    <mergeCell ref="G1:J1"/>
    <mergeCell ref="G2:J2"/>
    <mergeCell ref="G3:J3"/>
    <mergeCell ref="G4:J4"/>
    <mergeCell ref="G5:J5"/>
    <mergeCell ref="G6:J6"/>
    <mergeCell ref="O221:O224"/>
    <mergeCell ref="G124:J124"/>
    <mergeCell ref="G125:J125"/>
    <mergeCell ref="G219:J219"/>
    <mergeCell ref="G224:I224"/>
    <mergeCell ref="G130:I130"/>
    <mergeCell ref="G141:I141"/>
    <mergeCell ref="G140:I140"/>
    <mergeCell ref="G218:J218"/>
    <mergeCell ref="O34:O37"/>
    <mergeCell ref="O127:O130"/>
    <mergeCell ref="G63:I63"/>
    <mergeCell ref="G109:I109"/>
    <mergeCell ref="G80:I80"/>
    <mergeCell ref="G142:I142"/>
  </mergeCells>
  <phoneticPr fontId="27" type="noConversion"/>
  <conditionalFormatting sqref="G63:I63">
    <cfRule type="cellIs" dxfId="299" priority="51" operator="equal">
      <formula>"""Answer Required"""</formula>
    </cfRule>
    <cfRule type="containsText" dxfId="298" priority="66" operator="containsText" text="Answer Required">
      <formula>NOT(ISERROR(SEARCH("Answer Required",G63)))</formula>
    </cfRule>
  </conditionalFormatting>
  <conditionalFormatting sqref="G68:I68">
    <cfRule type="cellIs" dxfId="297" priority="49" operator="equal">
      <formula>"""Answer Required"""</formula>
    </cfRule>
    <cfRule type="containsText" dxfId="296" priority="50" operator="containsText" text="Answer Required">
      <formula>NOT(ISERROR(SEARCH("Answer Required",G68)))</formula>
    </cfRule>
  </conditionalFormatting>
  <conditionalFormatting sqref="G70:I70">
    <cfRule type="cellIs" dxfId="295" priority="47" operator="equal">
      <formula>"""Answer Required"""</formula>
    </cfRule>
    <cfRule type="containsText" dxfId="294" priority="48" operator="containsText" text="Answer Required">
      <formula>NOT(ISERROR(SEARCH("Answer Required",G70)))</formula>
    </cfRule>
  </conditionalFormatting>
  <conditionalFormatting sqref="G80:I80">
    <cfRule type="cellIs" dxfId="293" priority="17" operator="equal">
      <formula>"""Answer Required"""</formula>
    </cfRule>
    <cfRule type="containsText" dxfId="292" priority="18" operator="containsText" text="Answer Required">
      <formula>NOT(ISERROR(SEARCH("Answer Required",G80)))</formula>
    </cfRule>
  </conditionalFormatting>
  <conditionalFormatting sqref="G109:I109">
    <cfRule type="cellIs" dxfId="291" priority="15" operator="equal">
      <formula>"""Answer Required"""</formula>
    </cfRule>
    <cfRule type="containsText" dxfId="290" priority="16" operator="containsText" text="Answer Required">
      <formula>NOT(ISERROR(SEARCH("Answer Required",G109)))</formula>
    </cfRule>
  </conditionalFormatting>
  <conditionalFormatting sqref="G136:I136">
    <cfRule type="cellIs" dxfId="289" priority="13" operator="equal">
      <formula>"""Answer Required"""</formula>
    </cfRule>
    <cfRule type="containsText" dxfId="288" priority="14" operator="containsText" text="Answer Required">
      <formula>NOT(ISERROR(SEARCH("Answer Required",G136)))</formula>
    </cfRule>
  </conditionalFormatting>
  <conditionalFormatting sqref="G140:I142">
    <cfRule type="cellIs" dxfId="287" priority="11" operator="equal">
      <formula>"""Answer Required"""</formula>
    </cfRule>
    <cfRule type="containsText" dxfId="286" priority="12" operator="containsText" text="Answer Required">
      <formula>NOT(ISERROR(SEARCH("Answer Required",G140)))</formula>
    </cfRule>
  </conditionalFormatting>
  <conditionalFormatting sqref="G149:I149">
    <cfRule type="cellIs" dxfId="285" priority="1" operator="equal">
      <formula>"""Answer Required"""</formula>
    </cfRule>
    <cfRule type="containsText" dxfId="284" priority="2" operator="containsText" text="Answer Required">
      <formula>NOT(ISERROR(SEARCH("Answer Required",G149)))</formula>
    </cfRule>
  </conditionalFormatting>
  <conditionalFormatting sqref="G170:I170">
    <cfRule type="cellIs" dxfId="283" priority="31" operator="equal">
      <formula>"""Answer Required"""</formula>
    </cfRule>
    <cfRule type="containsText" dxfId="282" priority="32" operator="containsText" text="Answer Required">
      <formula>NOT(ISERROR(SEARCH("Answer Required",G170)))</formula>
    </cfRule>
  </conditionalFormatting>
  <conditionalFormatting sqref="G174:I174">
    <cfRule type="cellIs" dxfId="281" priority="9" operator="equal">
      <formula>"""Answer Required"""</formula>
    </cfRule>
    <cfRule type="containsText" dxfId="280" priority="10" operator="containsText" text="Answer Required">
      <formula>NOT(ISERROR(SEARCH("Answer Required",G174)))</formula>
    </cfRule>
  </conditionalFormatting>
  <conditionalFormatting sqref="G192:I192">
    <cfRule type="cellIs" dxfId="279" priority="7" operator="equal">
      <formula>"""Answer Required"""</formula>
    </cfRule>
    <cfRule type="containsText" dxfId="278" priority="8" operator="containsText" text="Answer Required">
      <formula>NOT(ISERROR(SEARCH("Answer Required",G192)))</formula>
    </cfRule>
  </conditionalFormatting>
  <conditionalFormatting sqref="G213:I213">
    <cfRule type="cellIs" dxfId="277" priority="5" operator="equal">
      <formula>"""Answer Required"""</formula>
    </cfRule>
    <cfRule type="containsText" dxfId="276" priority="6" operator="containsText" text="Answer Required">
      <formula>NOT(ISERROR(SEARCH("Answer Required",G213)))</formula>
    </cfRule>
  </conditionalFormatting>
  <conditionalFormatting sqref="G251:I252">
    <cfRule type="cellIs" dxfId="275" priority="23" operator="equal">
      <formula>"""Answer Required"""</formula>
    </cfRule>
    <cfRule type="containsText" dxfId="274" priority="24" operator="containsText" text="Answer Required">
      <formula>NOT(ISERROR(SEARCH("Answer Required",G251)))</formula>
    </cfRule>
  </conditionalFormatting>
  <conditionalFormatting sqref="K215">
    <cfRule type="cellIs" dxfId="273" priority="4" operator="equal">
      <formula>"ERROR"</formula>
    </cfRule>
  </conditionalFormatting>
  <conditionalFormatting sqref="K263">
    <cfRule type="cellIs" dxfId="272" priority="3" operator="equal">
      <formula>"ERROR"</formula>
    </cfRule>
  </conditionalFormatting>
  <dataValidations count="10">
    <dataValidation type="whole" allowBlank="1" showInputMessage="1" showErrorMessage="1" errorTitle="Enter a Whole Number" error="Enter a Whole Number_x000a_" sqref="K236:L236" xr:uid="{00000000-0002-0000-0000-000000000000}">
      <formula1>-9999999999</formula1>
      <formula2>9999999999</formula2>
    </dataValidation>
    <dataValidation type="whole" allowBlank="1" showInputMessage="1" showErrorMessage="1" errorTitle="Enter a Whole Number" error="Enter a Whole Number" sqref="K177:L177 K153:L153 K262" xr:uid="{00000000-0002-0000-0000-000001000000}">
      <formula1>-9999999999</formula1>
      <formula2>9999999999</formula2>
    </dataValidation>
    <dataValidation allowBlank="1" showInputMessage="1" sqref="G6" xr:uid="{00000000-0002-0000-0000-000002000000}"/>
    <dataValidation allowBlank="1" showInputMessage="1" showErrorMessage="1" error="Enter an agency number between 100 to 1002." sqref="G1:J1" xr:uid="{00000000-0002-0000-0000-000003000000}"/>
    <dataValidation type="whole" allowBlank="1" showInputMessage="1" showErrorMessage="1" error="Enter a whole number." sqref="K40:K47 K51:K55 K58:K63 K68 K70 K72 K74 K77:K80 K89:K95 K99:K102 K106:K109 K114 K116 K133:K136 K207:K214 K145 K148:K152 K155 K66 K248:K256 K202 K204 K173:K176 K226:K229 K233:K235 K140 K143 K158:K170 K179:K192 K112 K242:K246" xr:uid="{00000000-0002-0000-0000-000004000000}">
      <formula1>-9999999999999</formula1>
      <formula2>9999999999999</formula2>
    </dataValidation>
    <dataValidation type="whole" allowBlank="1" showInputMessage="1" showErrorMessage="1" error="Enter a positive whole number." sqref="K247" xr:uid="{00000000-0002-0000-0000-000005000000}">
      <formula1>0</formula1>
      <formula2>9.99999999999999E+21</formula2>
    </dataValidation>
    <dataValidation type="whole" allowBlank="1" showInputMessage="1" showErrorMessage="1" error="Enter a whole number_x000a_" sqref="K141:K142 K139" xr:uid="{00000000-0002-0000-0000-000006000000}">
      <formula1>-9999999999999</formula1>
      <formula2>9999999999999</formula2>
    </dataValidation>
    <dataValidation type="whole" allowBlank="1" showInputMessage="1" showErrorMessage="1" error="Please enter a whole number" sqref="K197" xr:uid="{00000000-0002-0000-0000-000007000000}">
      <formula1>-99999999999999900000</formula1>
      <formula2>99999999999999900000</formula2>
    </dataValidation>
    <dataValidation type="whole" allowBlank="1" showInputMessage="1" showErrorMessage="1" error="Please enter a whole number" sqref="K120" xr:uid="{00000000-0002-0000-0000-000008000000}">
      <formula1>-9999999999999</formula1>
      <formula2>9999999999999</formula2>
    </dataValidation>
    <dataValidation type="list" allowBlank="1" showInputMessage="1" showErrorMessage="1" error="Use drop-down list to make a selection" sqref="G2:J2" xr:uid="{00000000-0002-0000-0000-000009000000}">
      <formula1>$AA$11:$AA$35</formula1>
    </dataValidation>
  </dataValidations>
  <pageMargins left="0.75" right="0.25" top="0.65" bottom="0.78" header="0.27" footer="0.38"/>
  <pageSetup scale="49" orientation="portrait" cellComments="asDisplayed" r:id="rId6"/>
  <headerFooter alignWithMargins="0">
    <oddHeader>&amp;C&amp;"Times New Roman,Bold"Attachment CU4
Financial Statement Template (FST)
&amp;A</oddHeader>
    <oddFooter>&amp;L&amp;"Times New Roman,Regular"&amp;F  \  &amp;A&amp;RPage &amp;P</oddFooter>
  </headerFooter>
  <rowBreaks count="2" manualBreakCount="2">
    <brk id="122" max="15" man="1"/>
    <brk id="217" max="16383" man="1"/>
  </rowBreak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K145"/>
  <sheetViews>
    <sheetView zoomScaleNormal="100" zoomScaleSheetLayoutView="100" workbookViewId="0">
      <selection activeCell="C135" sqref="C135"/>
    </sheetView>
  </sheetViews>
  <sheetFormatPr defaultColWidth="9.140625" defaultRowHeight="12.75"/>
  <cols>
    <col min="1" max="1" width="8" customWidth="1"/>
    <col min="2" max="2" width="38.28515625" customWidth="1"/>
    <col min="3" max="4" width="15.42578125" customWidth="1"/>
    <col min="5" max="5" width="68.42578125" customWidth="1"/>
    <col min="6" max="9" width="9.140625" style="936"/>
    <col min="10" max="10" width="41.7109375" style="936" customWidth="1"/>
    <col min="11" max="16384" width="9.140625" style="936"/>
  </cols>
  <sheetData>
    <row r="1" spans="1:11">
      <c r="A1" s="1179" t="s">
        <v>507</v>
      </c>
      <c r="B1" s="1180"/>
      <c r="C1" s="1181"/>
      <c r="D1" s="1182" t="str">
        <f>'Component Unit Template'!G1</f>
        <v/>
      </c>
      <c r="E1" s="1183"/>
      <c r="F1" s="939"/>
      <c r="G1" s="939"/>
      <c r="I1" s="943"/>
    </row>
    <row r="2" spans="1:11" ht="31.5" customHeight="1">
      <c r="A2" s="1179" t="s">
        <v>528</v>
      </c>
      <c r="B2" s="1180"/>
      <c r="C2" s="1181"/>
      <c r="D2" s="1184" t="str">
        <f>IF('Component Unit Template'!G2="","",'Component Unit Template'!G2)</f>
        <v/>
      </c>
      <c r="E2" s="1185"/>
      <c r="F2" s="939"/>
      <c r="G2" s="939"/>
      <c r="I2" s="943"/>
    </row>
    <row r="3" spans="1:11">
      <c r="A3" s="1179" t="s">
        <v>586</v>
      </c>
      <c r="B3" s="1180"/>
      <c r="C3" s="1181"/>
      <c r="D3" s="1186" t="str">
        <f>IF('Component Unit Template'!G3="","",'Component Unit Template'!G3)</f>
        <v/>
      </c>
      <c r="E3" s="1187"/>
      <c r="F3" s="939"/>
      <c r="G3" s="944"/>
      <c r="I3" s="943"/>
    </row>
    <row r="4" spans="1:11">
      <c r="A4" s="1179" t="s">
        <v>315</v>
      </c>
      <c r="B4" s="1180"/>
      <c r="C4" s="1181"/>
      <c r="D4" s="1189" t="str">
        <f>IF('Component Unit Template'!G4="","",'Component Unit Template'!G4)</f>
        <v/>
      </c>
      <c r="E4" s="1190"/>
      <c r="F4" s="939"/>
      <c r="G4" s="939"/>
      <c r="I4" s="943"/>
    </row>
    <row r="5" spans="1:11">
      <c r="A5" s="1179" t="s">
        <v>677</v>
      </c>
      <c r="B5" s="1180"/>
      <c r="C5" s="1181"/>
      <c r="D5" s="1164" t="str">
        <f>IF('Component Unit Template'!G5="","",'Component Unit Template'!G5)</f>
        <v/>
      </c>
      <c r="E5" s="1166"/>
      <c r="F5" s="939"/>
      <c r="G5" s="939"/>
      <c r="I5" s="943"/>
      <c r="J5" s="937"/>
      <c r="K5" s="938"/>
    </row>
    <row r="6" spans="1:11">
      <c r="A6" s="1179" t="s">
        <v>36</v>
      </c>
      <c r="B6" s="1180"/>
      <c r="C6" s="1181"/>
      <c r="D6" s="1191" t="str">
        <f>IF('Component Unit Template'!G6="","",'Component Unit Template'!G6)</f>
        <v/>
      </c>
      <c r="E6" s="1192"/>
      <c r="F6" s="939"/>
      <c r="G6" s="939"/>
      <c r="I6" s="943"/>
      <c r="J6" s="937"/>
      <c r="K6" s="938"/>
    </row>
    <row r="7" spans="1:11">
      <c r="A7" s="936"/>
      <c r="B7" s="936"/>
      <c r="C7" s="936"/>
      <c r="D7" s="936"/>
      <c r="E7" s="936"/>
      <c r="J7" s="937"/>
      <c r="K7" s="938"/>
    </row>
    <row r="8" spans="1:11">
      <c r="A8" s="939"/>
      <c r="B8" s="940" t="s">
        <v>1081</v>
      </c>
      <c r="C8" s="939"/>
      <c r="D8" s="939"/>
      <c r="E8" s="939"/>
      <c r="F8" s="939"/>
      <c r="G8" s="939"/>
      <c r="J8" s="937"/>
      <c r="K8" s="938"/>
    </row>
    <row r="9" spans="1:11">
      <c r="A9" s="939"/>
      <c r="B9" s="941"/>
      <c r="C9" s="939"/>
      <c r="D9" s="939"/>
      <c r="E9" s="939"/>
      <c r="F9" s="939"/>
      <c r="G9" s="939"/>
      <c r="J9" s="937"/>
      <c r="K9" s="938"/>
    </row>
    <row r="10" spans="1:11">
      <c r="A10" s="939"/>
      <c r="B10" s="941" t="s">
        <v>1080</v>
      </c>
      <c r="C10" s="939"/>
      <c r="D10" s="939"/>
      <c r="E10" s="939"/>
      <c r="F10" s="939"/>
      <c r="G10" s="939"/>
      <c r="J10" s="937"/>
      <c r="K10" s="938"/>
    </row>
    <row r="11" spans="1:11">
      <c r="A11" s="939"/>
      <c r="B11" s="939"/>
      <c r="C11" s="939"/>
      <c r="D11" s="939"/>
      <c r="E11" s="939"/>
      <c r="F11" s="939"/>
      <c r="G11" s="939"/>
      <c r="J11" s="937"/>
      <c r="K11" s="938"/>
    </row>
    <row r="12" spans="1:11">
      <c r="A12" s="939"/>
      <c r="B12" s="942"/>
      <c r="C12" s="1188"/>
      <c r="D12" s="1188"/>
      <c r="E12" s="939"/>
      <c r="F12" s="939"/>
      <c r="G12" s="939"/>
      <c r="J12" s="937"/>
      <c r="K12" s="938"/>
    </row>
    <row r="13" spans="1:11" ht="24">
      <c r="A13" s="550" t="s">
        <v>1082</v>
      </c>
      <c r="B13" s="550" t="s">
        <v>1072</v>
      </c>
      <c r="C13" s="552" t="s">
        <v>1067</v>
      </c>
      <c r="D13" s="553" t="s">
        <v>1068</v>
      </c>
      <c r="E13" s="553" t="s">
        <v>1069</v>
      </c>
      <c r="F13" s="939"/>
      <c r="G13" s="939"/>
      <c r="J13" s="937"/>
      <c r="K13" s="938"/>
    </row>
    <row r="14" spans="1:11">
      <c r="A14" s="47" t="s">
        <v>1073</v>
      </c>
      <c r="B14" s="431"/>
      <c r="C14" s="431"/>
      <c r="D14" s="431"/>
      <c r="E14" s="431"/>
      <c r="F14" s="939"/>
      <c r="G14" s="939"/>
      <c r="J14" s="937"/>
      <c r="K14" s="938"/>
    </row>
    <row r="15" spans="1:11" ht="24">
      <c r="A15" s="556" t="s">
        <v>1070</v>
      </c>
      <c r="B15" s="550" t="str">
        <f>'Component Unit Template'!A40</f>
        <v xml:space="preserve"> Cash held with the Treasurer of Virginia (Account 101010)</v>
      </c>
      <c r="C15" s="551" t="str">
        <f>'Component Unit Template'!M40</f>
        <v/>
      </c>
      <c r="D15" s="561" t="str">
        <f>'Component Unit Template'!N40</f>
        <v/>
      </c>
      <c r="E15" s="554" t="str">
        <f>IF('Component Unit Template'!O40="yes","Answer Required","N/A")</f>
        <v>N/A</v>
      </c>
      <c r="F15" s="939"/>
      <c r="G15" s="939"/>
      <c r="J15" s="937"/>
      <c r="K15" s="938"/>
    </row>
    <row r="16" spans="1:11">
      <c r="A16" s="556" t="s">
        <v>1070</v>
      </c>
      <c r="B16" s="550" t="str">
        <f>'Component Unit Template'!A41</f>
        <v xml:space="preserve"> Cash not held with the Treasurer of Virginia</v>
      </c>
      <c r="C16" s="551" t="str">
        <f>'Component Unit Template'!M41</f>
        <v/>
      </c>
      <c r="D16" s="561" t="str">
        <f>'Component Unit Template'!N41</f>
        <v/>
      </c>
      <c r="E16" s="554" t="str">
        <f>IF('Component Unit Template'!O41="yes","Answer Required","N/A")</f>
        <v>N/A</v>
      </c>
      <c r="F16" s="939"/>
      <c r="G16" s="939"/>
      <c r="J16" s="937"/>
      <c r="K16" s="938"/>
    </row>
    <row r="17" spans="1:11" ht="24">
      <c r="A17" s="556" t="s">
        <v>1070</v>
      </c>
      <c r="B17" s="550" t="str">
        <f>'Component Unit Template'!A42</f>
        <v xml:space="preserve"> Cash Equivalents with the Treasurer of Virginia - Securities Lending</v>
      </c>
      <c r="C17" s="551" t="str">
        <f>'Component Unit Template'!M42</f>
        <v/>
      </c>
      <c r="D17" s="561" t="str">
        <f>'Component Unit Template'!N42</f>
        <v/>
      </c>
      <c r="E17" s="554" t="str">
        <f>IF('Component Unit Template'!O42="yes","Answer Required","N/A")</f>
        <v>N/A</v>
      </c>
      <c r="F17" s="939"/>
      <c r="G17" s="939"/>
      <c r="J17" s="937"/>
      <c r="K17" s="938"/>
    </row>
    <row r="18" spans="1:11" ht="24">
      <c r="A18" s="556" t="s">
        <v>1070</v>
      </c>
      <c r="B18" s="550" t="str">
        <f>'Component Unit Template'!A43</f>
        <v xml:space="preserve"> Local Government Investment Pool - Cash Equivalents</v>
      </c>
      <c r="C18" s="551" t="str">
        <f>'Component Unit Template'!M43</f>
        <v/>
      </c>
      <c r="D18" s="561" t="str">
        <f>'Component Unit Template'!N43</f>
        <v/>
      </c>
      <c r="E18" s="554" t="str">
        <f>IF('Component Unit Template'!O43="yes","Answer Required","N/A")</f>
        <v>N/A</v>
      </c>
      <c r="F18" s="939"/>
      <c r="G18" s="939"/>
      <c r="J18" s="937"/>
      <c r="K18" s="938"/>
    </row>
    <row r="19" spans="1:11" hidden="1">
      <c r="A19" s="556" t="s">
        <v>1070</v>
      </c>
      <c r="B19" s="550" t="str">
        <f>'Component Unit Template'!A44</f>
        <v xml:space="preserve"> State Non-Arbitrage Program (SNAP) Pool Funds </v>
      </c>
      <c r="C19" s="551" t="str">
        <f>'Component Unit Template'!M44</f>
        <v/>
      </c>
      <c r="D19" s="561" t="str">
        <f>'Component Unit Template'!N44</f>
        <v/>
      </c>
      <c r="E19" s="554" t="str">
        <f>IF('Component Unit Template'!O49="yes","Answer Required","N/A")</f>
        <v>N/A</v>
      </c>
      <c r="F19" s="939"/>
      <c r="G19" s="939"/>
      <c r="J19" s="937"/>
      <c r="K19" s="938"/>
    </row>
    <row r="20" spans="1:11" hidden="1">
      <c r="A20" s="556" t="s">
        <v>1070</v>
      </c>
      <c r="B20" s="550" t="str">
        <f>'Component Unit Template'!A45</f>
        <v xml:space="preserve"> SNAP Individual Portfolio - Cash Equivalents</v>
      </c>
      <c r="C20" s="551" t="str">
        <f>'Component Unit Template'!M45</f>
        <v/>
      </c>
      <c r="D20" s="561" t="str">
        <f>'Component Unit Template'!N45</f>
        <v/>
      </c>
      <c r="E20" s="554" t="str">
        <f>IF('Component Unit Template'!O50="yes","Answer Required","N/A")</f>
        <v>N/A</v>
      </c>
      <c r="F20" s="939"/>
      <c r="G20" s="939"/>
      <c r="J20" s="937"/>
      <c r="K20" s="938"/>
    </row>
    <row r="21" spans="1:11" ht="24">
      <c r="A21" s="556" t="s">
        <v>1070</v>
      </c>
      <c r="B21" s="550" t="str">
        <f>'Component Unit Template'!A46</f>
        <v xml:space="preserve"> Cash Equivalents with the Treasurer of Virginia (exclude SNAP &amp; LGIP)</v>
      </c>
      <c r="C21" s="551" t="str">
        <f>'Component Unit Template'!M46</f>
        <v/>
      </c>
      <c r="D21" s="561" t="str">
        <f>'Component Unit Template'!N46</f>
        <v/>
      </c>
      <c r="E21" s="554" t="str">
        <f>IF('Component Unit Template'!O46="yes","Answer Required","N/A")</f>
        <v>N/A</v>
      </c>
      <c r="F21" s="939"/>
      <c r="G21" s="939"/>
      <c r="J21" s="937"/>
      <c r="K21" s="938"/>
    </row>
    <row r="22" spans="1:11" ht="24">
      <c r="A22" s="556" t="s">
        <v>1070</v>
      </c>
      <c r="B22" s="550" t="str">
        <f>'Component Unit Template'!A47</f>
        <v xml:space="preserve"> Cash Equivalents not with the Treasurer of Virginia (exclude SNAP)</v>
      </c>
      <c r="C22" s="551" t="str">
        <f>'Component Unit Template'!M47</f>
        <v/>
      </c>
      <c r="D22" s="561" t="str">
        <f>'Component Unit Template'!N47</f>
        <v/>
      </c>
      <c r="E22" s="554" t="str">
        <f>IF('Component Unit Template'!O47="yes","Answer Required","N/A")</f>
        <v>N/A</v>
      </c>
      <c r="F22" s="939"/>
      <c r="G22" s="939"/>
      <c r="J22" s="937"/>
      <c r="K22" s="938"/>
    </row>
    <row r="23" spans="1:11" hidden="1">
      <c r="A23" s="556" t="s">
        <v>1070</v>
      </c>
      <c r="B23" s="550" t="str">
        <f>'Component Unit Template'!A51</f>
        <v xml:space="preserve"> SNAP Individual Portfolio - Investments</v>
      </c>
      <c r="C23" s="551" t="str">
        <f>'Component Unit Template'!M51</f>
        <v/>
      </c>
      <c r="D23" s="561" t="str">
        <f>'Component Unit Template'!N51</f>
        <v/>
      </c>
      <c r="E23" s="554" t="str">
        <f>IF('Component Unit Template'!O53="yes","Answer Required","N/A")</f>
        <v>N/A</v>
      </c>
      <c r="F23" s="939"/>
      <c r="G23" s="939"/>
      <c r="J23" s="937"/>
      <c r="K23" s="938"/>
    </row>
    <row r="24" spans="1:11" ht="24">
      <c r="A24" s="556" t="s">
        <v>1070</v>
      </c>
      <c r="B24" s="550" t="str">
        <f>'Component Unit Template'!A52</f>
        <v xml:space="preserve"> Investments with the Treasurer of Virginia - Securities Lending</v>
      </c>
      <c r="C24" s="551" t="str">
        <f>'Component Unit Template'!M52</f>
        <v/>
      </c>
      <c r="D24" s="561" t="str">
        <f>'Component Unit Template'!N52</f>
        <v/>
      </c>
      <c r="E24" s="554" t="str">
        <f>IF('Component Unit Template'!O52="yes","Answer Required","N/A")</f>
        <v>N/A</v>
      </c>
      <c r="F24" s="939"/>
      <c r="G24" s="939"/>
      <c r="J24" s="937"/>
      <c r="K24" s="938"/>
    </row>
    <row r="25" spans="1:11" hidden="1">
      <c r="A25" s="556" t="s">
        <v>1070</v>
      </c>
      <c r="B25" s="550" t="str">
        <f>'Component Unit Template'!A53</f>
        <v xml:space="preserve"> Local Government Investment Pool - Investments</v>
      </c>
      <c r="C25" s="551" t="str">
        <f>'Component Unit Template'!M53</f>
        <v/>
      </c>
      <c r="D25" s="561" t="str">
        <f>'Component Unit Template'!N53</f>
        <v/>
      </c>
      <c r="E25" s="554" t="str">
        <f>IF('Component Unit Template'!O55="yes","Answer Required","N/A")</f>
        <v>N/A</v>
      </c>
      <c r="F25" s="939"/>
      <c r="G25" s="939"/>
      <c r="J25" s="937"/>
      <c r="K25" s="938"/>
    </row>
    <row r="26" spans="1:11" ht="24">
      <c r="A26" s="556" t="s">
        <v>1070</v>
      </c>
      <c r="B26" s="550" t="str">
        <f>'Component Unit Template'!A54</f>
        <v xml:space="preserve"> Investments with the Treasurer of Virginia (exclude SNAP)</v>
      </c>
      <c r="C26" s="551" t="str">
        <f>'Component Unit Template'!M54</f>
        <v/>
      </c>
      <c r="D26" s="561" t="str">
        <f>'Component Unit Template'!N54</f>
        <v/>
      </c>
      <c r="E26" s="554" t="str">
        <f>IF('Component Unit Template'!O54="yes","Answer Required","N/A")</f>
        <v>N/A</v>
      </c>
      <c r="F26" s="939"/>
      <c r="G26" s="939"/>
      <c r="J26" s="937"/>
      <c r="K26" s="938"/>
    </row>
    <row r="27" spans="1:11" ht="24">
      <c r="A27" s="556" t="s">
        <v>1070</v>
      </c>
      <c r="B27" s="550" t="str">
        <f>'Component Unit Template'!A55</f>
        <v xml:space="preserve"> Investments not with the Treasurer of Virginia (exclude SNAP)</v>
      </c>
      <c r="C27" s="551" t="str">
        <f>'Component Unit Template'!M55</f>
        <v/>
      </c>
      <c r="D27" s="561" t="str">
        <f>'Component Unit Template'!N55</f>
        <v/>
      </c>
      <c r="E27" s="554" t="str">
        <f>IF('Component Unit Template'!O55="yes","Answer Required","N/A")</f>
        <v>N/A</v>
      </c>
      <c r="F27" s="939"/>
      <c r="G27" s="939"/>
    </row>
    <row r="28" spans="1:11">
      <c r="A28" s="556" t="s">
        <v>1070</v>
      </c>
      <c r="B28" s="550" t="str">
        <f>'Component Unit Template'!A58</f>
        <v>Accounts Receivable, net</v>
      </c>
      <c r="C28" s="551" t="str">
        <f>'Component Unit Template'!M58</f>
        <v/>
      </c>
      <c r="D28" s="561" t="str">
        <f>'Component Unit Template'!N58</f>
        <v/>
      </c>
      <c r="E28" s="554" t="str">
        <f>IF('Component Unit Template'!O58="yes","Answer Required","N/A")</f>
        <v>N/A</v>
      </c>
      <c r="F28" s="939"/>
      <c r="G28" s="939"/>
    </row>
    <row r="29" spans="1:11">
      <c r="A29" s="556" t="s">
        <v>1070</v>
      </c>
      <c r="B29" s="550" t="str">
        <f>'Component Unit Template'!A59</f>
        <v>Loans/Mortgage Receivable, net</v>
      </c>
      <c r="C29" s="551" t="str">
        <f>'Component Unit Template'!M59</f>
        <v/>
      </c>
      <c r="D29" s="561" t="str">
        <f>'Component Unit Template'!N59</f>
        <v/>
      </c>
      <c r="E29" s="554" t="str">
        <f>IF('Component Unit Template'!O59="yes","Answer Required","N/A")</f>
        <v>N/A</v>
      </c>
      <c r="F29" s="939"/>
      <c r="G29" s="939"/>
    </row>
    <row r="30" spans="1:11">
      <c r="A30" s="556" t="s">
        <v>1070</v>
      </c>
      <c r="B30" s="48" t="s">
        <v>1091</v>
      </c>
      <c r="C30" s="551" t="str">
        <f>'Component Unit Template'!M60</f>
        <v/>
      </c>
      <c r="D30" s="561" t="str">
        <f>'Component Unit Template'!N60</f>
        <v/>
      </c>
      <c r="E30" s="554" t="str">
        <f>IF('Component Unit Template'!O60="yes","Answer Required","N/A")</f>
        <v>N/A</v>
      </c>
      <c r="F30" s="939"/>
      <c r="G30" s="939"/>
    </row>
    <row r="31" spans="1:11">
      <c r="A31" s="556" t="s">
        <v>1070</v>
      </c>
      <c r="B31" s="550" t="str">
        <f>'Component Unit Template'!A61</f>
        <v>Taxes Receivable, net</v>
      </c>
      <c r="C31" s="551" t="str">
        <f>'Component Unit Template'!M61</f>
        <v/>
      </c>
      <c r="D31" s="561" t="str">
        <f>'Component Unit Template'!N61</f>
        <v/>
      </c>
      <c r="E31" s="554" t="str">
        <f>IF('Component Unit Template'!O61="yes","Answer Required","N/A")</f>
        <v>N/A</v>
      </c>
      <c r="F31" s="939"/>
      <c r="G31" s="939"/>
    </row>
    <row r="32" spans="1:11">
      <c r="A32" s="556" t="s">
        <v>1070</v>
      </c>
      <c r="B32" s="550" t="str">
        <f>'Component Unit Template'!A62</f>
        <v>Interest Receivable</v>
      </c>
      <c r="C32" s="551" t="str">
        <f>'Component Unit Template'!M62</f>
        <v/>
      </c>
      <c r="D32" s="561" t="str">
        <f>'Component Unit Template'!N62</f>
        <v/>
      </c>
      <c r="E32" s="554" t="str">
        <f>IF('Component Unit Template'!O62="yes","Answer Required","N/A")</f>
        <v>N/A</v>
      </c>
      <c r="F32" s="939"/>
      <c r="G32" s="939"/>
    </row>
    <row r="33" spans="1:7">
      <c r="A33" s="556" t="s">
        <v>1070</v>
      </c>
      <c r="B33" s="550" t="s">
        <v>245</v>
      </c>
      <c r="C33" s="551" t="str">
        <f>'Component Unit Template'!M63</f>
        <v/>
      </c>
      <c r="D33" s="561" t="str">
        <f>'Component Unit Template'!N63</f>
        <v/>
      </c>
      <c r="E33" s="554" t="str">
        <f>IF('Component Unit Template'!O63="yes","Answer Required","N/A")</f>
        <v>N/A</v>
      </c>
      <c r="F33" s="939"/>
      <c r="G33" s="939"/>
    </row>
    <row r="34" spans="1:7">
      <c r="A34" s="556" t="s">
        <v>1070</v>
      </c>
      <c r="B34" s="550" t="s">
        <v>621</v>
      </c>
      <c r="C34" s="551" t="str">
        <f>'Component Unit Template'!M68</f>
        <v/>
      </c>
      <c r="D34" s="561" t="str">
        <f>'Component Unit Template'!N68</f>
        <v/>
      </c>
      <c r="E34" s="554" t="str">
        <f>IF('Component Unit Template'!O68="yes","Answer Required","N/A")</f>
        <v>N/A</v>
      </c>
    </row>
    <row r="35" spans="1:7">
      <c r="A35" s="556" t="s">
        <v>1070</v>
      </c>
      <c r="B35" s="550" t="s">
        <v>620</v>
      </c>
      <c r="C35" s="551" t="str">
        <f>'Component Unit Template'!M70</f>
        <v/>
      </c>
      <c r="D35" s="561" t="str">
        <f>'Component Unit Template'!N70</f>
        <v/>
      </c>
      <c r="E35" s="554" t="str">
        <f>IF('Component Unit Template'!O70="yes","Answer Required","N/A")</f>
        <v>N/A</v>
      </c>
    </row>
    <row r="36" spans="1:7">
      <c r="A36" s="556" t="s">
        <v>1070</v>
      </c>
      <c r="B36" s="550" t="str">
        <f>'Component Unit Template'!A72</f>
        <v>Inventory</v>
      </c>
      <c r="C36" s="551" t="str">
        <f>'Component Unit Template'!M72</f>
        <v/>
      </c>
      <c r="D36" s="561" t="str">
        <f>'Component Unit Template'!N72</f>
        <v/>
      </c>
      <c r="E36" s="554" t="str">
        <f>IF('Component Unit Template'!O72="yes","Answer Required","N/A")</f>
        <v>N/A</v>
      </c>
    </row>
    <row r="37" spans="1:7">
      <c r="A37" s="556" t="s">
        <v>1070</v>
      </c>
      <c r="B37" s="550" t="str">
        <f>'Component Unit Template'!A74</f>
        <v>Prepaid Items</v>
      </c>
      <c r="C37" s="551" t="str">
        <f>'Component Unit Template'!M74</f>
        <v/>
      </c>
      <c r="D37" s="561" t="str">
        <f>'Component Unit Template'!N74</f>
        <v/>
      </c>
      <c r="E37" s="554" t="str">
        <f>IF('Component Unit Template'!O74="yes","Answer Required","N/A")</f>
        <v>N/A</v>
      </c>
    </row>
    <row r="38" spans="1:7">
      <c r="A38" s="556" t="s">
        <v>1070</v>
      </c>
      <c r="B38" s="550" t="str">
        <f>'Component Unit Template'!A77</f>
        <v>Cash and Travel Advances</v>
      </c>
      <c r="C38" s="551" t="str">
        <f>'Component Unit Template'!M77</f>
        <v/>
      </c>
      <c r="D38" s="561" t="str">
        <f>'Component Unit Template'!N77</f>
        <v/>
      </c>
      <c r="E38" s="554" t="str">
        <f>IF('Component Unit Template'!O77="yes","Answer Required","N/A")</f>
        <v>N/A</v>
      </c>
    </row>
    <row r="39" spans="1:7">
      <c r="A39" s="556" t="s">
        <v>1070</v>
      </c>
      <c r="B39" s="550" t="str">
        <f>'Component Unit Template'!A78</f>
        <v>Advances (nonexchange transactions)</v>
      </c>
      <c r="C39" s="551" t="str">
        <f>'Component Unit Template'!M78</f>
        <v/>
      </c>
      <c r="D39" s="561" t="str">
        <f>'Component Unit Template'!N78</f>
        <v/>
      </c>
      <c r="E39" s="554" t="str">
        <f>IF('Component Unit Template'!O78="yes","Answer Required","N/A")</f>
        <v>N/A</v>
      </c>
    </row>
    <row r="40" spans="1:7">
      <c r="A40" s="556" t="s">
        <v>1070</v>
      </c>
      <c r="B40" s="550" t="s">
        <v>119</v>
      </c>
      <c r="C40" s="551" t="str">
        <f>'Component Unit Template'!M80</f>
        <v/>
      </c>
      <c r="D40" s="561" t="str">
        <f>'Component Unit Template'!N80</f>
        <v/>
      </c>
      <c r="E40" s="554" t="str">
        <f>IF('Component Unit Template'!O80="yes","Answer Required","N/A")</f>
        <v>N/A</v>
      </c>
    </row>
    <row r="41" spans="1:7" ht="24">
      <c r="A41" s="556" t="s">
        <v>1070</v>
      </c>
      <c r="B41" s="550" t="str">
        <f>'Component Unit Template'!A89</f>
        <v>Restricted Cash held with the Treasurer of Virginia (Account 101010)</v>
      </c>
      <c r="C41" s="551" t="str">
        <f>'Component Unit Template'!M89</f>
        <v/>
      </c>
      <c r="D41" s="561" t="str">
        <f>'Component Unit Template'!N89</f>
        <v/>
      </c>
      <c r="E41" s="554" t="str">
        <f>IF('Component Unit Template'!O89="yes","Answer Required","N/A")</f>
        <v>N/A</v>
      </c>
    </row>
    <row r="42" spans="1:7" ht="24">
      <c r="A42" s="556" t="s">
        <v>1070</v>
      </c>
      <c r="B42" s="550" t="str">
        <f>'Component Unit Template'!A90</f>
        <v>Restricted Cash not held with the Treasurer of Virginia</v>
      </c>
      <c r="C42" s="551" t="str">
        <f>'Component Unit Template'!M90</f>
        <v/>
      </c>
      <c r="D42" s="561" t="str">
        <f>'Component Unit Template'!N90</f>
        <v/>
      </c>
      <c r="E42" s="554" t="str">
        <f>IF('Component Unit Template'!O90="yes","Answer Required","N/A")</f>
        <v>N/A</v>
      </c>
    </row>
    <row r="43" spans="1:7" ht="24">
      <c r="A43" s="556" t="s">
        <v>1070</v>
      </c>
      <c r="B43" s="550" t="str">
        <f>'Component Unit Template'!A91</f>
        <v>Restricted Local Government Investment Pool - Cash Equivalents</v>
      </c>
      <c r="C43" s="551" t="str">
        <f>'Component Unit Template'!M91</f>
        <v/>
      </c>
      <c r="D43" s="561" t="str">
        <f>'Component Unit Template'!N91</f>
        <v/>
      </c>
      <c r="E43" s="554" t="str">
        <f>IF('Component Unit Template'!O91="yes","Answer Required","N/A")</f>
        <v>N/A</v>
      </c>
    </row>
    <row r="44" spans="1:7" ht="24">
      <c r="A44" s="556" t="s">
        <v>1070</v>
      </c>
      <c r="B44" s="550" t="str">
        <f>'Component Unit Template'!A92</f>
        <v>Restricted State Non-Arbitrage Program (SNAP) Pool Funds</v>
      </c>
      <c r="C44" s="551" t="str">
        <f>'Component Unit Template'!M92</f>
        <v/>
      </c>
      <c r="D44" s="561" t="str">
        <f>'Component Unit Template'!N92</f>
        <v/>
      </c>
      <c r="E44" s="554" t="str">
        <f>IF('Component Unit Template'!O92="yes","Answer Required","N/A")</f>
        <v>N/A</v>
      </c>
    </row>
    <row r="45" spans="1:7" ht="24">
      <c r="A45" s="556" t="s">
        <v>1070</v>
      </c>
      <c r="B45" s="550" t="str">
        <f>'Component Unit Template'!A93</f>
        <v>Restricted SNAP Individual Portfolio - Cash Equivalents</v>
      </c>
      <c r="C45" s="551" t="str">
        <f>'Component Unit Template'!M93</f>
        <v/>
      </c>
      <c r="D45" s="561" t="str">
        <f>'Component Unit Template'!N93</f>
        <v/>
      </c>
      <c r="E45" s="554" t="str">
        <f>IF('Component Unit Template'!O93="yes","Answer Required","N/A")</f>
        <v>N/A</v>
      </c>
    </row>
    <row r="46" spans="1:7" ht="24">
      <c r="A46" s="556" t="s">
        <v>1070</v>
      </c>
      <c r="B46" s="550" t="str">
        <f>'Component Unit Template'!A94</f>
        <v>Restricted Cash Equivalents with the Treasurer of Virginia (exclude LGIP &amp; SNAP)</v>
      </c>
      <c r="C46" s="551" t="str">
        <f>'Component Unit Template'!M94</f>
        <v/>
      </c>
      <c r="D46" s="561" t="str">
        <f>'Component Unit Template'!N94</f>
        <v/>
      </c>
      <c r="E46" s="554" t="str">
        <f>IF('Component Unit Template'!O94="yes","Answer Required","N/A")</f>
        <v>N/A</v>
      </c>
    </row>
    <row r="47" spans="1:7" ht="24">
      <c r="A47" s="556" t="s">
        <v>1070</v>
      </c>
      <c r="B47" s="550" t="str">
        <f>'Component Unit Template'!A95</f>
        <v>Restricted Cash Equivalents not with the Treasurer of Virginia (exclude SNAP)</v>
      </c>
      <c r="C47" s="551" t="str">
        <f>'Component Unit Template'!M95</f>
        <v/>
      </c>
      <c r="D47" s="561" t="str">
        <f>'Component Unit Template'!N95</f>
        <v/>
      </c>
      <c r="E47" s="554" t="str">
        <f>IF('Component Unit Template'!O95="yes","Answer Required","N/A")</f>
        <v>N/A</v>
      </c>
    </row>
    <row r="48" spans="1:7">
      <c r="A48" s="556" t="s">
        <v>1070</v>
      </c>
      <c r="B48" s="550" t="str">
        <f>'Component Unit Template'!A99</f>
        <v>Restricted SNAP Individual Portfolio - Investments</v>
      </c>
      <c r="C48" s="551" t="str">
        <f>'Component Unit Template'!M99</f>
        <v/>
      </c>
      <c r="D48" s="561" t="str">
        <f>'Component Unit Template'!N99</f>
        <v/>
      </c>
      <c r="E48" s="554" t="str">
        <f>IF('Component Unit Template'!O99="yes","Answer Required","N/A")</f>
        <v>N/A</v>
      </c>
    </row>
    <row r="49" spans="1:7" ht="24" hidden="1">
      <c r="A49" s="556" t="s">
        <v>1070</v>
      </c>
      <c r="B49" s="550" t="str">
        <f>'Component Unit Template'!A100</f>
        <v>Restricted Local Government Investment Pool - Investments</v>
      </c>
      <c r="C49" s="551" t="str">
        <f>'Component Unit Template'!M100</f>
        <v/>
      </c>
      <c r="D49" s="561" t="str">
        <f>'Component Unit Template'!N100</f>
        <v/>
      </c>
      <c r="E49" s="554" t="str">
        <f>IF('Component Unit Template'!O100="yes","Answer Required","N/A")</f>
        <v>N/A</v>
      </c>
    </row>
    <row r="50" spans="1:7" ht="24">
      <c r="A50" s="556" t="s">
        <v>1070</v>
      </c>
      <c r="B50" s="550" t="str">
        <f>'Component Unit Template'!A101</f>
        <v>Restricted Investments with the Treasurer of Virginia (exclude SNAP)</v>
      </c>
      <c r="C50" s="551" t="str">
        <f>'Component Unit Template'!M101</f>
        <v/>
      </c>
      <c r="D50" s="561" t="str">
        <f>'Component Unit Template'!N101</f>
        <v/>
      </c>
      <c r="E50" s="554" t="str">
        <f>IF('Component Unit Template'!O101="yes","Answer Required","N/A")</f>
        <v>N/A</v>
      </c>
      <c r="G50" s="943"/>
    </row>
    <row r="51" spans="1:7" ht="24">
      <c r="A51" s="556" t="s">
        <v>1070</v>
      </c>
      <c r="B51" s="550" t="str">
        <f>'Component Unit Template'!A102</f>
        <v>Restricted Investments not with the Treasurer of Virginia (exclude SNAP)</v>
      </c>
      <c r="C51" s="551" t="str">
        <f>'Component Unit Template'!M102</f>
        <v/>
      </c>
      <c r="D51" s="561" t="str">
        <f>'Component Unit Template'!N102</f>
        <v/>
      </c>
      <c r="E51" s="554" t="str">
        <f>IF('Component Unit Template'!O102="yes","Answer Required","N/A")</f>
        <v>N/A</v>
      </c>
    </row>
    <row r="52" spans="1:7">
      <c r="A52" s="556" t="s">
        <v>1070</v>
      </c>
      <c r="B52" s="550" t="str">
        <f>'Component Unit Template'!A106</f>
        <v>Restricted Cash and Travel Advances</v>
      </c>
      <c r="C52" s="551" t="str">
        <f>'Component Unit Template'!M106</f>
        <v/>
      </c>
      <c r="D52" s="561" t="str">
        <f>'Component Unit Template'!N106</f>
        <v/>
      </c>
      <c r="E52" s="554" t="str">
        <f>IF('Component Unit Template'!O106="yes","Answer Required","N/A")</f>
        <v>N/A</v>
      </c>
    </row>
    <row r="53" spans="1:7">
      <c r="A53" s="556" t="s">
        <v>1070</v>
      </c>
      <c r="B53" s="550" t="str">
        <f>'Component Unit Template'!A107</f>
        <v>Restricted Advances (nonexchange transactions)</v>
      </c>
      <c r="C53" s="551" t="str">
        <f>'Component Unit Template'!M107</f>
        <v/>
      </c>
      <c r="D53" s="561" t="str">
        <f>'Component Unit Template'!N107</f>
        <v/>
      </c>
      <c r="E53" s="554" t="str">
        <f>IF('Component Unit Template'!O107="yes","Answer Required","N/A")</f>
        <v>N/A</v>
      </c>
    </row>
    <row r="54" spans="1:7">
      <c r="A54" s="556" t="s">
        <v>1070</v>
      </c>
      <c r="B54" s="550" t="s">
        <v>222</v>
      </c>
      <c r="C54" s="551" t="str">
        <f>'Component Unit Template'!M109</f>
        <v/>
      </c>
      <c r="D54" s="561" t="str">
        <f>'Component Unit Template'!N109</f>
        <v/>
      </c>
      <c r="E54" s="554" t="str">
        <f>IF('Component Unit Template'!O109="yes","Answer Required","N/A")</f>
        <v>N/A</v>
      </c>
    </row>
    <row r="55" spans="1:7">
      <c r="A55" s="556" t="s">
        <v>1070</v>
      </c>
      <c r="B55" s="550" t="str">
        <f>'Component Unit Template'!A112</f>
        <v>Restricted Receivables, Net</v>
      </c>
      <c r="C55" s="551" t="str">
        <f>'Component Unit Template'!M112</f>
        <v/>
      </c>
      <c r="D55" s="561" t="str">
        <f>'Component Unit Template'!N112</f>
        <v/>
      </c>
      <c r="E55" s="554" t="str">
        <f>IF('Component Unit Template'!O112="yes","Answer Required","N/A")</f>
        <v>N/A</v>
      </c>
    </row>
    <row r="56" spans="1:7">
      <c r="A56" s="556" t="s">
        <v>1070</v>
      </c>
      <c r="B56" s="550" t="str">
        <f>'Component Unit Template'!A114</f>
        <v>Nondepreciable Capital Assets</v>
      </c>
      <c r="C56" s="551" t="str">
        <f>'Component Unit Template'!M114</f>
        <v/>
      </c>
      <c r="D56" s="561" t="str">
        <f>'Component Unit Template'!N114</f>
        <v/>
      </c>
      <c r="E56" s="554" t="str">
        <f>IF('Component Unit Template'!O114="yes","Answer Required","N/A")</f>
        <v>N/A</v>
      </c>
    </row>
    <row r="57" spans="1:7">
      <c r="A57" s="556" t="s">
        <v>1070</v>
      </c>
      <c r="B57" s="550" t="str">
        <f>'Component Unit Template'!A116</f>
        <v>Other Capital Assets, Net</v>
      </c>
      <c r="C57" s="551" t="str">
        <f>'Component Unit Template'!M116</f>
        <v/>
      </c>
      <c r="D57" s="561" t="str">
        <f>'Component Unit Template'!N116</f>
        <v/>
      </c>
      <c r="E57" s="554" t="str">
        <f>IF('Component Unit Template'!O116="yes","Answer Required","N/A")</f>
        <v>N/A</v>
      </c>
    </row>
    <row r="58" spans="1:7">
      <c r="A58" s="556" t="s">
        <v>1070</v>
      </c>
      <c r="B58" s="550" t="str">
        <f>'Component Unit Template'!A120</f>
        <v xml:space="preserve">Deferred Outflows of Resources </v>
      </c>
      <c r="C58" s="551" t="str">
        <f>'Component Unit Template'!M120</f>
        <v/>
      </c>
      <c r="D58" s="561" t="str">
        <f>'Component Unit Template'!N120</f>
        <v/>
      </c>
      <c r="E58" s="554" t="str">
        <f>IF('Component Unit Template'!O120="yes","Answer Required","N/A")</f>
        <v>N/A</v>
      </c>
    </row>
    <row r="59" spans="1:7">
      <c r="A59" s="555" t="s">
        <v>1079</v>
      </c>
      <c r="B59" s="556"/>
      <c r="C59" s="556"/>
      <c r="D59" s="561"/>
      <c r="E59" s="556"/>
    </row>
    <row r="60" spans="1:7">
      <c r="A60" s="556" t="s">
        <v>1070</v>
      </c>
      <c r="B60" s="550" t="str">
        <f>'Component Unit Template'!A133</f>
        <v>Vendor</v>
      </c>
      <c r="C60" s="551" t="str">
        <f>'Component Unit Template'!M133</f>
        <v/>
      </c>
      <c r="D60" s="561" t="str">
        <f>'Component Unit Template'!N133</f>
        <v/>
      </c>
      <c r="E60" s="554" t="str">
        <f>IF('Component Unit Template'!O133="yes","Answer Required","N/A")</f>
        <v>N/A</v>
      </c>
    </row>
    <row r="61" spans="1:7">
      <c r="A61" s="556" t="s">
        <v>1070</v>
      </c>
      <c r="B61" s="550" t="str">
        <f>'Component Unit Template'!A134</f>
        <v>Salaries/Wages</v>
      </c>
      <c r="C61" s="551" t="str">
        <f>'Component Unit Template'!M134</f>
        <v/>
      </c>
      <c r="D61" s="561" t="str">
        <f>'Component Unit Template'!N134</f>
        <v/>
      </c>
      <c r="E61" s="554" t="str">
        <f>IF('Component Unit Template'!O134="yes","Answer Required","N/A")</f>
        <v>N/A</v>
      </c>
    </row>
    <row r="62" spans="1:7">
      <c r="A62" s="556" t="s">
        <v>1070</v>
      </c>
      <c r="B62" s="550" t="str">
        <f>'Component Unit Template'!A135</f>
        <v>Retainage Payable</v>
      </c>
      <c r="C62" s="551" t="str">
        <f>'Component Unit Template'!M135</f>
        <v/>
      </c>
      <c r="D62" s="561" t="str">
        <f>'Component Unit Template'!N135</f>
        <v/>
      </c>
      <c r="E62" s="554" t="str">
        <f>IF('Component Unit Template'!O135="yes","Answer Required","N/A")</f>
        <v>N/A</v>
      </c>
    </row>
    <row r="63" spans="1:7">
      <c r="A63" s="556" t="s">
        <v>1070</v>
      </c>
      <c r="B63" s="550" t="s">
        <v>1627</v>
      </c>
      <c r="C63" s="551" t="str">
        <f>'Component Unit Template'!M136</f>
        <v/>
      </c>
      <c r="D63" s="561" t="str">
        <f>'Component Unit Template'!N136</f>
        <v/>
      </c>
      <c r="E63" s="554" t="str">
        <f>IF('Component Unit Template'!O136="yes","Answer Required","N/A")</f>
        <v>N/A</v>
      </c>
    </row>
    <row r="64" spans="1:7" ht="24">
      <c r="A64" s="556" t="s">
        <v>1070</v>
      </c>
      <c r="B64" s="550" t="s">
        <v>1638</v>
      </c>
      <c r="C64" s="551" t="str">
        <f>'Component Unit Template'!M139</f>
        <v/>
      </c>
      <c r="D64" s="561" t="str">
        <f>'Component Unit Template'!N139</f>
        <v/>
      </c>
      <c r="E64" s="554" t="str">
        <f>IF('Component Unit Template'!O139="yes","Answer Required","N/A")</f>
        <v>N/A</v>
      </c>
    </row>
    <row r="65" spans="1:5">
      <c r="A65" s="556" t="s">
        <v>1070</v>
      </c>
      <c r="B65" s="550" t="s">
        <v>240</v>
      </c>
      <c r="C65" s="551" t="str">
        <f>'Component Unit Template'!M140</f>
        <v/>
      </c>
      <c r="D65" s="561" t="str">
        <f>'Component Unit Template'!N140</f>
        <v/>
      </c>
      <c r="E65" s="554" t="str">
        <f>IF('Component Unit Template'!O140="yes","Answer Required","N/A")</f>
        <v>N/A</v>
      </c>
    </row>
    <row r="66" spans="1:5">
      <c r="A66" s="556" t="s">
        <v>1070</v>
      </c>
      <c r="B66" s="550" t="s">
        <v>465</v>
      </c>
      <c r="C66" s="551" t="str">
        <f>'Component Unit Template'!M141</f>
        <v/>
      </c>
      <c r="D66" s="561" t="str">
        <f>'Component Unit Template'!N141</f>
        <v/>
      </c>
      <c r="E66" s="554" t="str">
        <f>IF('Component Unit Template'!O141="yes","Answer Required","N/A")</f>
        <v>N/A</v>
      </c>
    </row>
    <row r="67" spans="1:5">
      <c r="A67" s="556" t="s">
        <v>1070</v>
      </c>
      <c r="B67" s="550" t="s">
        <v>1626</v>
      </c>
      <c r="C67" s="551" t="str">
        <f>'Component Unit Template'!M142</f>
        <v/>
      </c>
      <c r="D67" s="561" t="str">
        <f>'Component Unit Template'!N142</f>
        <v/>
      </c>
      <c r="E67" s="554" t="str">
        <f>IF('Component Unit Template'!O142="yes","Answer Required","N/A")</f>
        <v>N/A</v>
      </c>
    </row>
    <row r="68" spans="1:5">
      <c r="A68" s="556" t="s">
        <v>1070</v>
      </c>
      <c r="B68" s="550" t="str">
        <f>'Component Unit Template'!A143</f>
        <v>Unearned Revenue</v>
      </c>
      <c r="C68" s="551" t="str">
        <f>'Component Unit Template'!M143</f>
        <v/>
      </c>
      <c r="D68" s="561" t="str">
        <f>'Component Unit Template'!N143</f>
        <v/>
      </c>
      <c r="E68" s="554" t="str">
        <f>IF('Component Unit Template'!O143="yes","Answer Required","N/A")</f>
        <v>N/A</v>
      </c>
    </row>
    <row r="69" spans="1:5">
      <c r="A69" s="556" t="s">
        <v>1070</v>
      </c>
      <c r="B69" s="550" t="str">
        <f>'Component Unit Template'!A145</f>
        <v>Obligations Under Securities Lending Program</v>
      </c>
      <c r="C69" s="551" t="str">
        <f>'Component Unit Template'!M145</f>
        <v/>
      </c>
      <c r="D69" s="561" t="str">
        <f>'Component Unit Template'!N145</f>
        <v/>
      </c>
      <c r="E69" s="554" t="str">
        <f>IF('Component Unit Template'!O145="yes","Answer Required","N/A")</f>
        <v>N/A</v>
      </c>
    </row>
    <row r="70" spans="1:5">
      <c r="A70" s="556" t="s">
        <v>1070</v>
      </c>
      <c r="B70" s="550" t="str">
        <f>'Component Unit Template'!A148</f>
        <v>Accrued Interest Payable</v>
      </c>
      <c r="C70" s="551" t="str">
        <f>'Component Unit Template'!M148</f>
        <v/>
      </c>
      <c r="D70" s="561" t="str">
        <f>'Component Unit Template'!N148</f>
        <v/>
      </c>
      <c r="E70" s="554" t="str">
        <f>IF('Component Unit Template'!O148="yes","Answer Required","N/A")</f>
        <v>N/A</v>
      </c>
    </row>
    <row r="71" spans="1:5">
      <c r="A71" s="556" t="s">
        <v>1070</v>
      </c>
      <c r="B71" s="550" t="s">
        <v>1629</v>
      </c>
      <c r="C71" s="551" t="str">
        <f>'Component Unit Template'!M149</f>
        <v/>
      </c>
      <c r="D71" s="561" t="str">
        <f>'Component Unit Template'!N149</f>
        <v/>
      </c>
      <c r="E71" s="554" t="str">
        <f>IF('Component Unit Template'!O149="yes","Answer Required","N/A")</f>
        <v>N/A</v>
      </c>
    </row>
    <row r="72" spans="1:5">
      <c r="A72" s="556" t="s">
        <v>1070</v>
      </c>
      <c r="B72" s="550" t="str">
        <f>'Component Unit Template'!A150</f>
        <v>Deposits Pending Distribution</v>
      </c>
      <c r="C72" s="551" t="str">
        <f>'Component Unit Template'!M150</f>
        <v/>
      </c>
      <c r="D72" s="561" t="str">
        <f>'Component Unit Template'!N150</f>
        <v/>
      </c>
      <c r="E72" s="554" t="str">
        <f>IF('Component Unit Template'!O150="yes","Answer Required","N/A")</f>
        <v>N/A</v>
      </c>
    </row>
    <row r="73" spans="1:5">
      <c r="A73" s="556" t="s">
        <v>1070</v>
      </c>
      <c r="B73" s="550" t="str">
        <f>'Component Unit Template'!A151</f>
        <v>Short-term Debt</v>
      </c>
      <c r="C73" s="551" t="str">
        <f>'Component Unit Template'!M151</f>
        <v/>
      </c>
      <c r="D73" s="561" t="str">
        <f>'Component Unit Template'!N151</f>
        <v/>
      </c>
      <c r="E73" s="554" t="str">
        <f>IF('Component Unit Template'!O151="yes","Answer Required","N/A")</f>
        <v>N/A</v>
      </c>
    </row>
    <row r="74" spans="1:5">
      <c r="A74" s="556" t="s">
        <v>1070</v>
      </c>
      <c r="B74" s="550" t="str">
        <f>'Component Unit Template'!A152</f>
        <v>Grants Payable</v>
      </c>
      <c r="C74" s="551" t="str">
        <f>'Component Unit Template'!M152</f>
        <v/>
      </c>
      <c r="D74" s="561" t="str">
        <f>'Component Unit Template'!N152</f>
        <v/>
      </c>
      <c r="E74" s="554" t="str">
        <f>IF('Component Unit Template'!O152="yes","Answer Required","N/A")</f>
        <v>N/A</v>
      </c>
    </row>
    <row r="75" spans="1:5">
      <c r="A75" s="556" t="s">
        <v>1070</v>
      </c>
      <c r="B75" s="550" t="str">
        <f>'Component Unit Template'!A155</f>
        <v>Loans Payable to Primary Government</v>
      </c>
      <c r="C75" s="551" t="str">
        <f>'Component Unit Template'!M155</f>
        <v/>
      </c>
      <c r="D75" s="561" t="str">
        <f>'Component Unit Template'!N155</f>
        <v/>
      </c>
      <c r="E75" s="554" t="str">
        <f>IF('Component Unit Template'!O155="yes","Answer Required","N/A")</f>
        <v>N/A</v>
      </c>
    </row>
    <row r="76" spans="1:5">
      <c r="A76" s="556" t="s">
        <v>1070</v>
      </c>
      <c r="B76" s="550" t="str">
        <f>'Component Unit Template'!A158</f>
        <v>Bonds Payable - Due Within One Year</v>
      </c>
      <c r="C76" s="551" t="str">
        <f>'Component Unit Template'!M158</f>
        <v/>
      </c>
      <c r="D76" s="561" t="str">
        <f>'Component Unit Template'!N158</f>
        <v/>
      </c>
      <c r="E76" s="554" t="str">
        <f>IF('Component Unit Template'!O158="yes","Answer Required","N/A")</f>
        <v>N/A</v>
      </c>
    </row>
    <row r="77" spans="1:5" ht="24">
      <c r="A77" s="556" t="s">
        <v>1070</v>
      </c>
      <c r="B77" s="550" t="str">
        <f>'Component Unit Template'!A159</f>
        <v>Installment Purchase Obligations - Due Within One Year</v>
      </c>
      <c r="C77" s="551" t="str">
        <f>'Component Unit Template'!M159</f>
        <v/>
      </c>
      <c r="D77" s="561" t="str">
        <f>'Component Unit Template'!N159</f>
        <v/>
      </c>
      <c r="E77" s="554" t="str">
        <f>IF('Component Unit Template'!O159="yes","Answer Required","N/A")</f>
        <v>N/A</v>
      </c>
    </row>
    <row r="78" spans="1:5" ht="24">
      <c r="A78" s="556" t="s">
        <v>1070</v>
      </c>
      <c r="B78" s="550" t="s">
        <v>1673</v>
      </c>
      <c r="C78" s="551" t="str">
        <f>'Component Unit Template'!M160</f>
        <v/>
      </c>
      <c r="D78" s="561" t="str">
        <f>'Component Unit Template'!N160</f>
        <v/>
      </c>
      <c r="E78" s="554" t="str">
        <f>IF('Component Unit Template'!O160="yes","Answer Required","N/A")</f>
        <v>N/A</v>
      </c>
    </row>
    <row r="79" spans="1:5" ht="24">
      <c r="A79" s="556" t="s">
        <v>1070</v>
      </c>
      <c r="B79" s="550" t="s">
        <v>1675</v>
      </c>
      <c r="C79" s="551" t="str">
        <f>'Component Unit Template'!M161</f>
        <v/>
      </c>
      <c r="D79" s="561" t="str">
        <f>'Component Unit Template'!N161</f>
        <v/>
      </c>
      <c r="E79" s="554" t="str">
        <f>IF('Component Unit Template'!O161="yes","Answer Required","N/A")</f>
        <v>N/A</v>
      </c>
    </row>
    <row r="80" spans="1:5" ht="24">
      <c r="A80" s="556" t="s">
        <v>1070</v>
      </c>
      <c r="B80" s="913" t="s">
        <v>1578</v>
      </c>
      <c r="C80" s="551" t="str">
        <f>'Component Unit Template'!M162</f>
        <v/>
      </c>
      <c r="D80" s="561" t="str">
        <f>'Component Unit Template'!N162</f>
        <v/>
      </c>
      <c r="E80" s="554" t="str">
        <f>IF('Component Unit Template'!O162="yes","Answer Required","N/A")</f>
        <v>N/A</v>
      </c>
    </row>
    <row r="81" spans="1:5" ht="36">
      <c r="A81" s="556" t="s">
        <v>1070</v>
      </c>
      <c r="B81" s="550" t="s">
        <v>1487</v>
      </c>
      <c r="C81" s="551" t="str">
        <f>'Component Unit Template'!M163</f>
        <v/>
      </c>
      <c r="D81" s="561" t="str">
        <f>'Component Unit Template'!N163</f>
        <v/>
      </c>
      <c r="E81" s="554" t="str">
        <f>IF('Component Unit Template'!O163="yes","Answer Required","N/A")</f>
        <v>N/A</v>
      </c>
    </row>
    <row r="82" spans="1:5">
      <c r="A82" s="556" t="s">
        <v>1070</v>
      </c>
      <c r="B82" s="550" t="str">
        <f>'Component Unit Template'!A164</f>
        <v>Notes Payable - Due Within One Year</v>
      </c>
      <c r="C82" s="551" t="str">
        <f>'Component Unit Template'!M164</f>
        <v/>
      </c>
      <c r="D82" s="561" t="str">
        <f>'Component Unit Template'!N164</f>
        <v/>
      </c>
      <c r="E82" s="554" t="str">
        <f>IF('Component Unit Template'!O164="yes","Answer Required","N/A")</f>
        <v>N/A</v>
      </c>
    </row>
    <row r="83" spans="1:5">
      <c r="A83" s="556" t="s">
        <v>1070</v>
      </c>
      <c r="B83" s="550" t="str">
        <f>'Component Unit Template'!A165</f>
        <v>Compensated Absences - Due Within One Year</v>
      </c>
      <c r="C83" s="551" t="str">
        <f>'Component Unit Template'!M165</f>
        <v/>
      </c>
      <c r="D83" s="561" t="str">
        <f>'Component Unit Template'!N165</f>
        <v/>
      </c>
      <c r="E83" s="554" t="str">
        <f>IF('Component Unit Template'!O165="yes","Answer Required","N/A")</f>
        <v>N/A</v>
      </c>
    </row>
    <row r="84" spans="1:5" ht="24">
      <c r="A84" s="556" t="s">
        <v>1070</v>
      </c>
      <c r="B84" s="550" t="s">
        <v>1342</v>
      </c>
      <c r="C84" s="551" t="str">
        <f>'Component Unit Template'!M166</f>
        <v/>
      </c>
      <c r="D84" s="561" t="str">
        <f>'Component Unit Template'!N166</f>
        <v/>
      </c>
      <c r="E84" s="554" t="str">
        <f>IF('Component Unit Template'!O166="yes","Answer Required","N/A")</f>
        <v>N/A</v>
      </c>
    </row>
    <row r="85" spans="1:5" ht="24">
      <c r="A85" s="556" t="s">
        <v>1070</v>
      </c>
      <c r="B85" s="550" t="s">
        <v>1343</v>
      </c>
      <c r="C85" s="551" t="str">
        <f>'Component Unit Template'!M167</f>
        <v/>
      </c>
      <c r="D85" s="561" t="str">
        <f>'Component Unit Template'!N167</f>
        <v/>
      </c>
      <c r="E85" s="554" t="str">
        <f>IF('Component Unit Template'!O167="yes","Answer Required","N/A")</f>
        <v>N/A</v>
      </c>
    </row>
    <row r="86" spans="1:5" ht="23.25" hidden="1" customHeight="1">
      <c r="A86" s="556" t="s">
        <v>1070</v>
      </c>
      <c r="B86" s="550" t="s">
        <v>1340</v>
      </c>
      <c r="C86" s="551"/>
      <c r="D86" s="561"/>
      <c r="E86" s="554" t="str">
        <f>IF('Component Unit Template'!O189="yes","Answer Required","N/A")</f>
        <v>N/A</v>
      </c>
    </row>
    <row r="87" spans="1:5">
      <c r="A87" s="556" t="s">
        <v>1070</v>
      </c>
      <c r="B87" s="550" t="str">
        <f>'Component Unit Template'!A168</f>
        <v>Bond Anticipation Notes - Due Within One Year</v>
      </c>
      <c r="C87" s="551" t="str">
        <f>'Component Unit Template'!M168</f>
        <v/>
      </c>
      <c r="D87" s="561" t="str">
        <f>'Component Unit Template'!N168</f>
        <v/>
      </c>
      <c r="E87" s="554" t="str">
        <f>IF('Component Unit Template'!O168="yes","Answer Required","N/A")</f>
        <v>N/A</v>
      </c>
    </row>
    <row r="88" spans="1:5" ht="24">
      <c r="A88" s="556" t="s">
        <v>1070</v>
      </c>
      <c r="B88" s="550" t="str">
        <f>'Component Unit Template'!A169</f>
        <v>Trust and Annuity Obligations - Due Within One Year</v>
      </c>
      <c r="C88" s="551" t="str">
        <f>'Component Unit Template'!M169</f>
        <v/>
      </c>
      <c r="D88" s="561" t="str">
        <f>'Component Unit Template'!N169</f>
        <v/>
      </c>
      <c r="E88" s="554" t="str">
        <f>IF('Component Unit Template'!O169="yes","Answer Required","N/A")</f>
        <v>N/A</v>
      </c>
    </row>
    <row r="89" spans="1:5">
      <c r="A89" s="556" t="s">
        <v>1070</v>
      </c>
      <c r="B89" s="550" t="s">
        <v>1630</v>
      </c>
      <c r="C89" s="551" t="str">
        <f>'Component Unit Template'!M170</f>
        <v/>
      </c>
      <c r="D89" s="561" t="str">
        <f>'Component Unit Template'!N170</f>
        <v/>
      </c>
      <c r="E89" s="554" t="str">
        <f>IF('Component Unit Template'!O170="yes","Answer Required","N/A")</f>
        <v>N/A</v>
      </c>
    </row>
    <row r="90" spans="1:5">
      <c r="A90" s="556" t="s">
        <v>1070</v>
      </c>
      <c r="B90" s="550" t="str">
        <f>'Component Unit Template'!A173</f>
        <v>Accrued Interest Payable</v>
      </c>
      <c r="C90" s="551" t="str">
        <f>'Component Unit Template'!M173</f>
        <v/>
      </c>
      <c r="D90" s="561" t="str">
        <f>'Component Unit Template'!N173</f>
        <v/>
      </c>
      <c r="E90" s="554" t="str">
        <f>IF('Component Unit Template'!O173="yes","Answer Required","N/A")</f>
        <v>N/A</v>
      </c>
    </row>
    <row r="91" spans="1:5">
      <c r="A91" s="556" t="s">
        <v>1070</v>
      </c>
      <c r="B91" s="550" t="s">
        <v>1628</v>
      </c>
      <c r="C91" s="551" t="str">
        <f>'Component Unit Template'!M174</f>
        <v/>
      </c>
      <c r="D91" s="561" t="str">
        <f>'Component Unit Template'!N174</f>
        <v/>
      </c>
      <c r="E91" s="554" t="str">
        <f>IF('Component Unit Template'!O174="yes","Answer Required","N/A")</f>
        <v>N/A</v>
      </c>
    </row>
    <row r="92" spans="1:5">
      <c r="A92" s="556" t="s">
        <v>1070</v>
      </c>
      <c r="B92" s="550" t="str">
        <f>'Component Unit Template'!A175</f>
        <v>Deposits Pending Distribution</v>
      </c>
      <c r="C92" s="551" t="str">
        <f>'Component Unit Template'!M175</f>
        <v/>
      </c>
      <c r="D92" s="561" t="str">
        <f>'Component Unit Template'!N175</f>
        <v/>
      </c>
      <c r="E92" s="554" t="str">
        <f>IF('Component Unit Template'!O175="yes","Answer Required","N/A")</f>
        <v>N/A</v>
      </c>
    </row>
    <row r="93" spans="1:5">
      <c r="A93" s="556" t="s">
        <v>1070</v>
      </c>
      <c r="B93" s="550" t="str">
        <f>'Component Unit Template'!A176</f>
        <v>Grants Payable</v>
      </c>
      <c r="C93" s="551" t="str">
        <f>'Component Unit Template'!M176</f>
        <v/>
      </c>
      <c r="D93" s="561" t="str">
        <f>'Component Unit Template'!N176</f>
        <v/>
      </c>
      <c r="E93" s="554" t="str">
        <f>IF('Component Unit Template'!O176="yes","Answer Required","N/A")</f>
        <v>N/A</v>
      </c>
    </row>
    <row r="94" spans="1:5">
      <c r="A94" s="556" t="s">
        <v>1070</v>
      </c>
      <c r="B94" s="550" t="str">
        <f>'Component Unit Template'!A179</f>
        <v>Bonds Payable - Due Greater Than One Year</v>
      </c>
      <c r="C94" s="551" t="str">
        <f>'Component Unit Template'!M179</f>
        <v/>
      </c>
      <c r="D94" s="561" t="str">
        <f>'Component Unit Template'!N179</f>
        <v/>
      </c>
      <c r="E94" s="554" t="str">
        <f>IF('Component Unit Template'!O179="yes","Answer Required","N/A")</f>
        <v>N/A</v>
      </c>
    </row>
    <row r="95" spans="1:5" ht="24">
      <c r="A95" s="556" t="s">
        <v>1070</v>
      </c>
      <c r="B95" s="550" t="str">
        <f>'Component Unit Template'!A180</f>
        <v>Installment Purchase Obligations - Due Greater Than One Year</v>
      </c>
      <c r="C95" s="551" t="str">
        <f>'Component Unit Template'!M180</f>
        <v/>
      </c>
      <c r="D95" s="561" t="str">
        <f>'Component Unit Template'!N180</f>
        <v/>
      </c>
      <c r="E95" s="554" t="str">
        <f>IF('Component Unit Template'!O180="yes","Answer Required","N/A")</f>
        <v>N/A</v>
      </c>
    </row>
    <row r="96" spans="1:5" ht="24">
      <c r="A96" s="556" t="s">
        <v>1070</v>
      </c>
      <c r="B96" s="550" t="s">
        <v>1674</v>
      </c>
      <c r="C96" s="551" t="str">
        <f>'Component Unit Template'!M181</f>
        <v/>
      </c>
      <c r="D96" s="561" t="str">
        <f>'Component Unit Template'!N181</f>
        <v/>
      </c>
      <c r="E96" s="554" t="str">
        <f>IF('Component Unit Template'!O181="yes","Answer Required","N/A")</f>
        <v>N/A</v>
      </c>
    </row>
    <row r="97" spans="1:5" ht="24">
      <c r="A97" s="556" t="s">
        <v>1070</v>
      </c>
      <c r="B97" s="550" t="s">
        <v>1676</v>
      </c>
      <c r="C97" s="551" t="str">
        <f>'Component Unit Template'!M182</f>
        <v/>
      </c>
      <c r="D97" s="561" t="str">
        <f>'Component Unit Template'!N182</f>
        <v/>
      </c>
      <c r="E97" s="554" t="str">
        <f>IF('Component Unit Template'!O182="yes","Answer Required","N/A")</f>
        <v>N/A</v>
      </c>
    </row>
    <row r="98" spans="1:5" ht="24">
      <c r="A98" s="556" t="s">
        <v>1070</v>
      </c>
      <c r="B98" s="913" t="s">
        <v>1671</v>
      </c>
      <c r="C98" s="551" t="str">
        <f>'Component Unit Template'!M183</f>
        <v/>
      </c>
      <c r="D98" s="561" t="str">
        <f>'Component Unit Template'!N183</f>
        <v/>
      </c>
      <c r="E98" s="554" t="str">
        <f>IF('Component Unit Template'!O183="yes","Answer Required","N/A")</f>
        <v>N/A</v>
      </c>
    </row>
    <row r="99" spans="1:5" ht="36">
      <c r="A99" s="556" t="s">
        <v>1070</v>
      </c>
      <c r="B99" s="550" t="s">
        <v>1677</v>
      </c>
      <c r="C99" s="551" t="str">
        <f>'Component Unit Template'!M184</f>
        <v/>
      </c>
      <c r="D99" s="561" t="str">
        <f>'Component Unit Template'!N184</f>
        <v/>
      </c>
      <c r="E99" s="554" t="str">
        <f>IF('Component Unit Template'!O184="yes","Answer Required","N/A")</f>
        <v>N/A</v>
      </c>
    </row>
    <row r="100" spans="1:5">
      <c r="A100" s="556" t="s">
        <v>1070</v>
      </c>
      <c r="B100" s="550" t="str">
        <f>'Component Unit Template'!A185</f>
        <v>Notes Payable - Due Greater Than One Year</v>
      </c>
      <c r="C100" s="551" t="str">
        <f>'Component Unit Template'!M185</f>
        <v/>
      </c>
      <c r="D100" s="561" t="str">
        <f>'Component Unit Template'!N185</f>
        <v/>
      </c>
      <c r="E100" s="554" t="str">
        <f>IF('Component Unit Template'!O185="yes","Answer Required","N/A")</f>
        <v>N/A</v>
      </c>
    </row>
    <row r="101" spans="1:5" ht="24">
      <c r="A101" s="556" t="s">
        <v>1070</v>
      </c>
      <c r="B101" s="550" t="str">
        <f>'Component Unit Template'!A186</f>
        <v>Compensated Absences - Due Greater Than One Year</v>
      </c>
      <c r="C101" s="551" t="str">
        <f>'Component Unit Template'!M186</f>
        <v/>
      </c>
      <c r="D101" s="561" t="str">
        <f>'Component Unit Template'!N186</f>
        <v/>
      </c>
      <c r="E101" s="554" t="str">
        <f>IF('Component Unit Template'!O186="yes","Answer Required","N/A")</f>
        <v>N/A</v>
      </c>
    </row>
    <row r="102" spans="1:5">
      <c r="A102" s="556" t="s">
        <v>1070</v>
      </c>
      <c r="B102" s="550" t="str">
        <f>'Component Unit Template'!A187</f>
        <v>Net Pension Liability - Due Greater Than One Year</v>
      </c>
      <c r="C102" s="551" t="str">
        <f>'Component Unit Template'!M187</f>
        <v/>
      </c>
      <c r="D102" s="561" t="str">
        <f>'Component Unit Template'!N187</f>
        <v/>
      </c>
      <c r="E102" s="554" t="str">
        <f>IF('Component Unit Template'!O187="yes","Answer Required","N/A")</f>
        <v>N/A</v>
      </c>
    </row>
    <row r="103" spans="1:5" ht="24">
      <c r="A103" s="556" t="s">
        <v>1070</v>
      </c>
      <c r="B103" s="550" t="str">
        <f>'Component Unit Template'!A188</f>
        <v>Net Other Postemployment Benefits (OPEB) Liabilities - Due Greater Than One Year</v>
      </c>
      <c r="C103" s="551" t="str">
        <f>'Component Unit Template'!M188</f>
        <v/>
      </c>
      <c r="D103" s="561" t="str">
        <f>'Component Unit Template'!N188</f>
        <v/>
      </c>
      <c r="E103" s="554" t="str">
        <f>IF('Component Unit Template'!O188="yes","Answer Required","N/A")</f>
        <v>N/A</v>
      </c>
    </row>
    <row r="104" spans="1:5" ht="24">
      <c r="A104" s="556" t="s">
        <v>1070</v>
      </c>
      <c r="B104" s="550" t="s">
        <v>1632</v>
      </c>
      <c r="C104" s="551" t="str">
        <f>'Component Unit Template'!M189</f>
        <v/>
      </c>
      <c r="D104" s="561" t="str">
        <f>'Component Unit Template'!N189</f>
        <v/>
      </c>
      <c r="E104" s="554" t="str">
        <f>IF('Component Unit Template'!O189="yes","Answer Required","N/A")</f>
        <v>N/A</v>
      </c>
    </row>
    <row r="105" spans="1:5" ht="24">
      <c r="A105" s="556" t="s">
        <v>1070</v>
      </c>
      <c r="B105" s="550" t="str">
        <f>'Component Unit Template'!A190</f>
        <v>Bond Anticipation Notes - Due Greater Than One Year</v>
      </c>
      <c r="C105" s="551" t="str">
        <f>'Component Unit Template'!M190</f>
        <v/>
      </c>
      <c r="D105" s="561" t="str">
        <f>'Component Unit Template'!N190</f>
        <v/>
      </c>
      <c r="E105" s="554" t="str">
        <f>IF('Component Unit Template'!O190="yes","Answer Required","N/A")</f>
        <v>N/A</v>
      </c>
    </row>
    <row r="106" spans="1:5" ht="24">
      <c r="A106" s="556" t="s">
        <v>1070</v>
      </c>
      <c r="B106" s="550" t="str">
        <f>'Component Unit Template'!A191</f>
        <v>Trust and Annuity Obligations - Due Greater Than One Year</v>
      </c>
      <c r="C106" s="551" t="str">
        <f>'Component Unit Template'!M191</f>
        <v/>
      </c>
      <c r="D106" s="561" t="str">
        <f>'Component Unit Template'!N191</f>
        <v/>
      </c>
      <c r="E106" s="554" t="str">
        <f>IF('Component Unit Template'!O191="yes","Answer Required","N/A")</f>
        <v>N/A</v>
      </c>
    </row>
    <row r="107" spans="1:5" ht="24">
      <c r="A107" s="556" t="s">
        <v>1070</v>
      </c>
      <c r="B107" s="550" t="s">
        <v>1631</v>
      </c>
      <c r="C107" s="551" t="str">
        <f>'Component Unit Template'!M192</f>
        <v/>
      </c>
      <c r="D107" s="561" t="str">
        <f>'Component Unit Template'!N192</f>
        <v/>
      </c>
      <c r="E107" s="554" t="str">
        <f>IF('Component Unit Template'!O192="yes","Answer Required","N/A")</f>
        <v>N/A</v>
      </c>
    </row>
    <row r="108" spans="1:5">
      <c r="A108" s="556" t="s">
        <v>1070</v>
      </c>
      <c r="B108" s="550" t="str">
        <f>'Component Unit Template'!A197</f>
        <v>Deferred Inflows of Resources</v>
      </c>
      <c r="C108" s="551" t="str">
        <f>'Component Unit Template'!M197</f>
        <v/>
      </c>
      <c r="D108" s="561" t="str">
        <f>'Component Unit Template'!N197</f>
        <v/>
      </c>
      <c r="E108" s="554" t="str">
        <f>IF('Component Unit Template'!O197="yes","Answer Required","N/A")</f>
        <v>N/A</v>
      </c>
    </row>
    <row r="109" spans="1:5">
      <c r="A109" s="555" t="s">
        <v>1665</v>
      </c>
      <c r="B109" s="556"/>
      <c r="C109" s="556"/>
      <c r="D109" s="561"/>
      <c r="E109" s="556"/>
    </row>
    <row r="110" spans="1:5">
      <c r="A110" s="556" t="s">
        <v>1070</v>
      </c>
      <c r="B110" s="550" t="str">
        <f>'Component Unit Template'!A202</f>
        <v>Net Investment in Capital Assets</v>
      </c>
      <c r="C110" s="551" t="str">
        <f>'Component Unit Template'!M202</f>
        <v/>
      </c>
      <c r="D110" s="561" t="str">
        <f>'Component Unit Template'!N202</f>
        <v/>
      </c>
      <c r="E110" s="554" t="str">
        <f>IF('Component Unit Template'!O202="yes","Answer Required","N/A")</f>
        <v>N/A</v>
      </c>
    </row>
    <row r="111" spans="1:5">
      <c r="A111" s="556" t="s">
        <v>1070</v>
      </c>
      <c r="B111" s="550" t="s">
        <v>1074</v>
      </c>
      <c r="C111" s="551" t="str">
        <f>'Component Unit Template'!M204</f>
        <v/>
      </c>
      <c r="D111" s="561" t="str">
        <f>'Component Unit Template'!N204</f>
        <v/>
      </c>
      <c r="E111" s="554" t="str">
        <f>IF('Component Unit Template'!O204="yes","Answer Required","N/A")</f>
        <v>N/A</v>
      </c>
    </row>
    <row r="112" spans="1:5" ht="24">
      <c r="A112" s="556" t="s">
        <v>1070</v>
      </c>
      <c r="B112" s="550" t="s">
        <v>1344</v>
      </c>
      <c r="C112" s="551" t="str">
        <f>'Component Unit Template'!M207</f>
        <v/>
      </c>
      <c r="D112" s="561" t="str">
        <f>'Component Unit Template'!N207</f>
        <v/>
      </c>
      <c r="E112" s="554" t="str">
        <f>IF('Component Unit Template'!O207="yes","Answer Required","N/A")</f>
        <v>N/A</v>
      </c>
    </row>
    <row r="113" spans="1:5" ht="24">
      <c r="A113" s="556" t="s">
        <v>1070</v>
      </c>
      <c r="B113" s="550" t="s">
        <v>1297</v>
      </c>
      <c r="C113" s="551" t="str">
        <f>'Component Unit Template'!M208</f>
        <v/>
      </c>
      <c r="D113" s="561" t="str">
        <f>'Component Unit Template'!N208</f>
        <v/>
      </c>
      <c r="E113" s="554" t="str">
        <f>IF('Component Unit Template'!O208="yes","Answer Required","N/A")</f>
        <v>N/A</v>
      </c>
    </row>
    <row r="114" spans="1:5">
      <c r="A114" s="556" t="s">
        <v>1070</v>
      </c>
      <c r="B114" s="550" t="s">
        <v>1075</v>
      </c>
      <c r="C114" s="551" t="str">
        <f>'Component Unit Template'!M209</f>
        <v/>
      </c>
      <c r="D114" s="561" t="str">
        <f>'Component Unit Template'!N209</f>
        <v/>
      </c>
      <c r="E114" s="554" t="str">
        <f>IF('Component Unit Template'!O209="yes","Answer Required","N/A")</f>
        <v>N/A</v>
      </c>
    </row>
    <row r="115" spans="1:5">
      <c r="A115" s="556" t="s">
        <v>1070</v>
      </c>
      <c r="B115" s="550" t="s">
        <v>1076</v>
      </c>
      <c r="C115" s="551" t="str">
        <f>'Component Unit Template'!M210</f>
        <v/>
      </c>
      <c r="D115" s="561" t="str">
        <f>'Component Unit Template'!N210</f>
        <v/>
      </c>
      <c r="E115" s="554" t="str">
        <f>IF('Component Unit Template'!O210="yes","Answer Required","N/A")</f>
        <v>N/A</v>
      </c>
    </row>
    <row r="116" spans="1:5">
      <c r="A116" s="556" t="s">
        <v>1070</v>
      </c>
      <c r="B116" s="550" t="s">
        <v>1077</v>
      </c>
      <c r="C116" s="551" t="str">
        <f>'Component Unit Template'!M211</f>
        <v/>
      </c>
      <c r="D116" s="561" t="str">
        <f>'Component Unit Template'!N211</f>
        <v/>
      </c>
      <c r="E116" s="554" t="str">
        <f>IF('Component Unit Template'!O211="yes","Answer Required","N/A")</f>
        <v>N/A</v>
      </c>
    </row>
    <row r="117" spans="1:5">
      <c r="A117" s="556" t="s">
        <v>1070</v>
      </c>
      <c r="B117" s="550" t="s">
        <v>1193</v>
      </c>
      <c r="C117" s="551" t="str">
        <f>'Component Unit Template'!M212</f>
        <v/>
      </c>
      <c r="D117" s="561" t="str">
        <f>'Component Unit Template'!N212</f>
        <v/>
      </c>
      <c r="E117" s="554" t="str">
        <f>IF('Component Unit Template'!O212="yes","Answer Required","N/A")</f>
        <v>N/A</v>
      </c>
    </row>
    <row r="118" spans="1:5">
      <c r="A118" s="556" t="s">
        <v>1070</v>
      </c>
      <c r="B118" s="550" t="s">
        <v>1625</v>
      </c>
      <c r="C118" s="551" t="str">
        <f>'Component Unit Template'!M213</f>
        <v/>
      </c>
      <c r="D118" s="561" t="str">
        <f>'Component Unit Template'!N213</f>
        <v/>
      </c>
      <c r="E118" s="554" t="str">
        <f>IF('Component Unit Template'!O213="yes","Answer Required","N/A")</f>
        <v>N/A</v>
      </c>
    </row>
    <row r="119" spans="1:5">
      <c r="A119" s="556" t="s">
        <v>1070</v>
      </c>
      <c r="B119" s="550" t="str">
        <f>'Component Unit Template'!A214</f>
        <v>Unrestricted</v>
      </c>
      <c r="C119" s="551" t="str">
        <f>'Component Unit Template'!M214</f>
        <v/>
      </c>
      <c r="D119" s="561" t="str">
        <f>'Component Unit Template'!N214</f>
        <v/>
      </c>
      <c r="E119" s="554" t="str">
        <f>IF('Component Unit Template'!O214="yes","Answer Required","N/A")</f>
        <v>N/A</v>
      </c>
    </row>
    <row r="120" spans="1:5">
      <c r="A120" s="555" t="s">
        <v>623</v>
      </c>
      <c r="B120" s="556"/>
      <c r="C120" s="556"/>
      <c r="D120" s="561"/>
      <c r="E120" s="556"/>
    </row>
    <row r="121" spans="1:5">
      <c r="A121" s="556" t="s">
        <v>1071</v>
      </c>
      <c r="B121" s="550" t="str">
        <f>'Component Unit Template'!A226</f>
        <v>Charges for Services</v>
      </c>
      <c r="C121" s="551" t="str">
        <f>'Component Unit Template'!M226</f>
        <v/>
      </c>
      <c r="D121" s="561" t="str">
        <f>'Component Unit Template'!N226</f>
        <v/>
      </c>
      <c r="E121" s="554" t="str">
        <f>IF('Component Unit Template'!O226="yes","Answer Required","N/A")</f>
        <v>N/A</v>
      </c>
    </row>
    <row r="122" spans="1:5">
      <c r="A122" s="556" t="s">
        <v>1071</v>
      </c>
      <c r="B122" s="550" t="str">
        <f>'Component Unit Template'!A227</f>
        <v>Operating Grants and Contributions</v>
      </c>
      <c r="C122" s="551" t="str">
        <f>'Component Unit Template'!M227</f>
        <v/>
      </c>
      <c r="D122" s="561" t="str">
        <f>'Component Unit Template'!N227</f>
        <v/>
      </c>
      <c r="E122" s="554" t="str">
        <f>IF('Component Unit Template'!O227="yes","Answer Required","N/A")</f>
        <v>N/A</v>
      </c>
    </row>
    <row r="123" spans="1:5">
      <c r="A123" s="556" t="s">
        <v>1071</v>
      </c>
      <c r="B123" s="550" t="s">
        <v>1624</v>
      </c>
      <c r="C123" s="551" t="str">
        <f>'Component Unit Template'!M228</f>
        <v/>
      </c>
      <c r="D123" s="561" t="str">
        <f>'Component Unit Template'!N228</f>
        <v/>
      </c>
      <c r="E123" s="554" t="str">
        <f>IF('Component Unit Template'!O228="yes","Answer Required","N/A")</f>
        <v>N/A</v>
      </c>
    </row>
    <row r="124" spans="1:5">
      <c r="A124" s="556" t="s">
        <v>1071</v>
      </c>
      <c r="B124" s="550" t="str">
        <f>'Component Unit Template'!A229</f>
        <v>Income From Security Lending Transactions</v>
      </c>
      <c r="C124" s="551" t="str">
        <f>'Component Unit Template'!M229</f>
        <v/>
      </c>
      <c r="D124" s="561" t="str">
        <f>'Component Unit Template'!N229</f>
        <v/>
      </c>
      <c r="E124" s="554" t="str">
        <f>IF('Component Unit Template'!O229="yes","Answer Required","N/A")</f>
        <v>N/A</v>
      </c>
    </row>
    <row r="125" spans="1:5">
      <c r="A125" s="555" t="s">
        <v>627</v>
      </c>
      <c r="B125" s="556"/>
      <c r="C125" s="556"/>
      <c r="D125" s="561"/>
      <c r="E125" s="556"/>
    </row>
    <row r="126" spans="1:5">
      <c r="A126" s="556" t="s">
        <v>1071</v>
      </c>
      <c r="B126" s="550" t="str">
        <f>'Component Unit Template'!A233</f>
        <v>Operating and Nonoperating Expenses</v>
      </c>
      <c r="C126" s="551" t="str">
        <f>'Component Unit Template'!M233</f>
        <v/>
      </c>
      <c r="D126" s="561" t="str">
        <f>'Component Unit Template'!N233</f>
        <v/>
      </c>
      <c r="E126" s="554" t="str">
        <f>IF('Component Unit Template'!O233="yes","Answer Required","N/A")</f>
        <v>N/A</v>
      </c>
    </row>
    <row r="127" spans="1:5">
      <c r="A127" s="556" t="s">
        <v>1071</v>
      </c>
      <c r="B127" s="550" t="str">
        <f>'Component Unit Template'!A234</f>
        <v>Loss on Sale/Disposal/Impairment of Capital Assets</v>
      </c>
      <c r="C127" s="551" t="str">
        <f>'Component Unit Template'!M234</f>
        <v/>
      </c>
      <c r="D127" s="561" t="str">
        <f>'Component Unit Template'!N234</f>
        <v/>
      </c>
      <c r="E127" s="554" t="str">
        <f>IF('Component Unit Template'!O234="yes","Answer Required","N/A")</f>
        <v>N/A</v>
      </c>
    </row>
    <row r="128" spans="1:5">
      <c r="A128" s="556" t="s">
        <v>1071</v>
      </c>
      <c r="B128" s="550" t="str">
        <f>'Component Unit Template'!A235</f>
        <v>Expenses For Security Lending Transactions</v>
      </c>
      <c r="C128" s="551" t="str">
        <f>'Component Unit Template'!M235</f>
        <v/>
      </c>
      <c r="D128" s="561" t="str">
        <f>'Component Unit Template'!N235</f>
        <v/>
      </c>
      <c r="E128" s="554" t="str">
        <f>IF('Component Unit Template'!O235="yes","Answer Required","N/A")</f>
        <v>N/A</v>
      </c>
    </row>
    <row r="129" spans="1:5">
      <c r="A129" s="555" t="s">
        <v>182</v>
      </c>
      <c r="B129" s="556"/>
      <c r="C129" s="551"/>
      <c r="D129" s="561"/>
      <c r="E129" s="551"/>
    </row>
    <row r="130" spans="1:5" ht="24">
      <c r="A130" s="556" t="s">
        <v>1071</v>
      </c>
      <c r="B130" s="550" t="s">
        <v>595</v>
      </c>
      <c r="C130" s="551" t="str">
        <f>'Component Unit Template'!M242</f>
        <v/>
      </c>
      <c r="D130" s="561" t="str">
        <f>'Component Unit Template'!N242</f>
        <v/>
      </c>
      <c r="E130" s="554" t="str">
        <f>IF('Component Unit Template'!O242="yes","Answer Required","N/A")</f>
        <v>N/A</v>
      </c>
    </row>
    <row r="131" spans="1:5">
      <c r="A131" s="556" t="s">
        <v>1071</v>
      </c>
      <c r="B131" s="550" t="s">
        <v>596</v>
      </c>
      <c r="C131" s="551" t="str">
        <f>'Component Unit Template'!M243</f>
        <v/>
      </c>
      <c r="D131" s="561" t="str">
        <f>'Component Unit Template'!N243</f>
        <v/>
      </c>
      <c r="E131" s="554" t="str">
        <f>IF('Component Unit Template'!Q245="yes","Answer Required","N/A")</f>
        <v>N/A</v>
      </c>
    </row>
    <row r="132" spans="1:5">
      <c r="A132" s="556" t="s">
        <v>1071</v>
      </c>
      <c r="B132" s="550" t="s">
        <v>597</v>
      </c>
      <c r="C132" s="551" t="str">
        <f>'Component Unit Template'!M244</f>
        <v/>
      </c>
      <c r="D132" s="561" t="str">
        <f>'Component Unit Template'!N244</f>
        <v/>
      </c>
      <c r="E132" s="554" t="str">
        <f>IF('Component Unit Template'!O244="yes","Answer Required","N/A")</f>
        <v>N/A</v>
      </c>
    </row>
    <row r="133" spans="1:5">
      <c r="A133" s="556" t="s">
        <v>1071</v>
      </c>
      <c r="B133" s="550" t="s">
        <v>1867</v>
      </c>
      <c r="C133" s="551" t="str">
        <f>'Component Unit Template'!M245</f>
        <v/>
      </c>
      <c r="D133" s="561" t="str">
        <f>'Component Unit Template'!N245</f>
        <v/>
      </c>
      <c r="E133" s="554" t="str">
        <f>IF('Component Unit Template'!Q244="yes","Answer Required","N/A")</f>
        <v>N/A</v>
      </c>
    </row>
    <row r="134" spans="1:5">
      <c r="A134" s="556" t="s">
        <v>1071</v>
      </c>
      <c r="B134" s="550" t="s">
        <v>40</v>
      </c>
      <c r="C134" s="551" t="str">
        <f>'Component Unit Template'!M246</f>
        <v/>
      </c>
      <c r="D134" s="561" t="str">
        <f>'Component Unit Template'!N246</f>
        <v/>
      </c>
      <c r="E134" s="554" t="str">
        <f>IF('Component Unit Template'!O246="yes","Answer Required","N/A")</f>
        <v>N/A</v>
      </c>
    </row>
    <row r="135" spans="1:5">
      <c r="A135" s="556" t="s">
        <v>1071</v>
      </c>
      <c r="B135" s="550" t="s">
        <v>1623</v>
      </c>
      <c r="C135" s="551" t="str">
        <f>'Component Unit Template'!M247</f>
        <v/>
      </c>
      <c r="D135" s="561" t="str">
        <f>'Component Unit Template'!N247</f>
        <v/>
      </c>
      <c r="E135" s="554" t="str">
        <f>IF('Component Unit Template'!O247="yes","Answer Required","N/A")</f>
        <v>N/A</v>
      </c>
    </row>
    <row r="136" spans="1:5">
      <c r="A136" s="556" t="s">
        <v>1071</v>
      </c>
      <c r="B136" s="550" t="s">
        <v>438</v>
      </c>
      <c r="C136" s="551" t="str">
        <f>'Component Unit Template'!M248</f>
        <v/>
      </c>
      <c r="D136" s="561" t="str">
        <f>'Component Unit Template'!N248</f>
        <v/>
      </c>
      <c r="E136" s="554" t="str">
        <f>IF('Component Unit Template'!O248="yes","Answer Required","N/A")</f>
        <v>N/A</v>
      </c>
    </row>
    <row r="137" spans="1:5">
      <c r="A137" s="556" t="s">
        <v>1071</v>
      </c>
      <c r="B137" s="550" t="s">
        <v>598</v>
      </c>
      <c r="C137" s="551" t="str">
        <f>'Component Unit Template'!M249</f>
        <v/>
      </c>
      <c r="D137" s="561" t="str">
        <f>'Component Unit Template'!N249</f>
        <v/>
      </c>
      <c r="E137" s="554" t="str">
        <f>IF('Component Unit Template'!O249="yes","Answer Required","N/A")</f>
        <v>N/A</v>
      </c>
    </row>
    <row r="138" spans="1:5" hidden="1">
      <c r="A138" s="556" t="s">
        <v>1071</v>
      </c>
      <c r="B138" s="550" t="s">
        <v>511</v>
      </c>
      <c r="C138" s="551">
        <f>'Component Unit Template'!M250</f>
        <v>0</v>
      </c>
      <c r="D138" s="561">
        <f>'Component Unit Template'!N250</f>
        <v>0</v>
      </c>
      <c r="E138" s="554" t="str">
        <f>IF('Component Unit Template'!O250="yes","Answer Required","N/A")</f>
        <v>N/A</v>
      </c>
    </row>
    <row r="139" spans="1:5">
      <c r="A139" s="556" t="s">
        <v>1071</v>
      </c>
      <c r="B139" s="550" t="s">
        <v>1622</v>
      </c>
      <c r="C139" s="551" t="str">
        <f>'Component Unit Template'!M251</f>
        <v/>
      </c>
      <c r="D139" s="561" t="str">
        <f>'Component Unit Template'!N251</f>
        <v/>
      </c>
      <c r="E139" s="554" t="str">
        <f>IF('Component Unit Template'!O251="yes","Answer Required","N/A")</f>
        <v>N/A</v>
      </c>
    </row>
    <row r="140" spans="1:5">
      <c r="A140" s="556" t="s">
        <v>1071</v>
      </c>
      <c r="B140" s="550" t="s">
        <v>776</v>
      </c>
      <c r="C140" s="551" t="str">
        <f>'Component Unit Template'!M252</f>
        <v/>
      </c>
      <c r="D140" s="561" t="str">
        <f>'Component Unit Template'!N252</f>
        <v/>
      </c>
      <c r="E140" s="554" t="str">
        <f>IF('Component Unit Template'!O252="yes","Answer Required","N/A")</f>
        <v>N/A</v>
      </c>
    </row>
    <row r="141" spans="1:5" ht="14.25" hidden="1" customHeight="1">
      <c r="A141" s="556" t="s">
        <v>1071</v>
      </c>
      <c r="B141" s="550" t="s">
        <v>600</v>
      </c>
      <c r="C141" s="551">
        <f>'Component Unit Template'!M253</f>
        <v>0</v>
      </c>
      <c r="D141" s="561">
        <f>'Component Unit Template'!N253</f>
        <v>0</v>
      </c>
      <c r="E141" s="554" t="str">
        <f>IF('Component Unit Template'!O253="yes","Answer Required","N/A")</f>
        <v>N/A</v>
      </c>
    </row>
    <row r="142" spans="1:5" ht="14.25" hidden="1" customHeight="1">
      <c r="A142" s="556"/>
      <c r="B142" s="550"/>
      <c r="C142" s="551">
        <f>'Component Unit Template'!M254</f>
        <v>0</v>
      </c>
      <c r="D142" s="561">
        <f>'Component Unit Template'!N254</f>
        <v>0</v>
      </c>
      <c r="E142" s="554" t="str">
        <f>IF('Component Unit Template'!O254="yes","Answer Required","N/A")</f>
        <v>N/A</v>
      </c>
    </row>
    <row r="143" spans="1:5">
      <c r="A143" s="556" t="s">
        <v>1071</v>
      </c>
      <c r="B143" s="550" t="s">
        <v>1620</v>
      </c>
      <c r="C143" s="551">
        <f>'Component Unit Template'!M255</f>
        <v>0</v>
      </c>
      <c r="D143" s="561">
        <f>'Component Unit Template'!N255</f>
        <v>0</v>
      </c>
      <c r="E143" s="554" t="str">
        <f>IF('Component Unit Template'!O255="yes","Answer Required","N/A")</f>
        <v>N/A</v>
      </c>
    </row>
    <row r="144" spans="1:5" hidden="1">
      <c r="A144" s="556" t="s">
        <v>1071</v>
      </c>
      <c r="B144" s="922" t="s">
        <v>202</v>
      </c>
      <c r="C144" s="551"/>
      <c r="D144" s="561"/>
      <c r="E144" s="554"/>
    </row>
    <row r="145" spans="1:5" hidden="1">
      <c r="A145" s="556" t="s">
        <v>1071</v>
      </c>
      <c r="B145" s="550" t="s">
        <v>202</v>
      </c>
      <c r="C145" s="551">
        <f>'Component Unit Template'!M256</f>
        <v>0</v>
      </c>
      <c r="D145" s="561">
        <f>'Component Unit Template'!N256</f>
        <v>0</v>
      </c>
      <c r="E145" s="554" t="str">
        <f>IF('Component Unit Template'!O256="yes","Answer Required","N/A")</f>
        <v>N/A</v>
      </c>
    </row>
  </sheetData>
  <sheetProtection algorithmName="SHA-512" hashValue="HhE2f4LQvKs/ANRepFKTjffhxIDenxXfeoW7l5qeu5M65QB4SD6XxT/MeUtHN6YIsddiDo/urbtIHbPQbQejaA==" saltValue="Hz8j2N5YlZrve+x+U9VY6g==" spinCount="100000" sheet="1" objects="1" scenarios="1"/>
  <customSheetViews>
    <customSheetView guid="{9A25463D-BF6D-4A94-84A5-80E7F3451C59}" showPageBreaks="1" hiddenRows="1" view="pageBreakPreview">
      <selection sqref="A1:C1"/>
      <rowBreaks count="2" manualBreakCount="2">
        <brk id="57" max="16383" man="1"/>
        <brk id="108" max="16383" man="1"/>
      </rowBreaks>
      <pageMargins left="0.7" right="0.7" top="0.75" bottom="0.75" header="0.3" footer="0.3"/>
      <pageSetup scale="67" orientation="portrait" r:id="rId1"/>
      <headerFooter>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PageBreaks="1" hiddenRows="1" view="pageBreakPreview">
      <selection activeCell="E98" sqref="E98"/>
      <rowBreaks count="2" manualBreakCount="2">
        <brk id="57" max="16383" man="1"/>
        <brk id="110" max="16383" man="1"/>
      </rowBreaks>
      <pageMargins left="0.7" right="0.7" top="0.75" bottom="0.75" header="0.3" footer="0.3"/>
      <pageSetup scale="67" orientation="portrait" r:id="rId2"/>
      <headerFooter>
        <oddHeader>&amp;C&amp;"Times New Roman,Bold"Attachment CU4
Financial Statement Template (FST)
&amp;A</oddHeader>
        <oddFooter>&amp;L&amp;"Times New Roman,Regular"&amp;F \ &amp;A&amp;R&amp;"Times New Roman,Regular" Page &amp;P</oddFooter>
      </headerFooter>
    </customSheetView>
  </customSheetViews>
  <mergeCells count="13">
    <mergeCell ref="C12:D12"/>
    <mergeCell ref="A4:C4"/>
    <mergeCell ref="D4:E4"/>
    <mergeCell ref="A5:C5"/>
    <mergeCell ref="D5:E5"/>
    <mergeCell ref="A6:C6"/>
    <mergeCell ref="D6:E6"/>
    <mergeCell ref="A1:C1"/>
    <mergeCell ref="D1:E1"/>
    <mergeCell ref="A2:C2"/>
    <mergeCell ref="D2:E2"/>
    <mergeCell ref="A3:C3"/>
    <mergeCell ref="D3:E3"/>
  </mergeCells>
  <conditionalFormatting sqref="E15:E58 E110:E119 E130:E145">
    <cfRule type="cellIs" dxfId="271" priority="7" operator="equal">
      <formula>"Answer Required"</formula>
    </cfRule>
  </conditionalFormatting>
  <conditionalFormatting sqref="E60:E108">
    <cfRule type="cellIs" dxfId="270" priority="1" operator="equal">
      <formula>"Answer Required"</formula>
    </cfRule>
  </conditionalFormatting>
  <conditionalFormatting sqref="E121:E124">
    <cfRule type="cellIs" dxfId="269" priority="6" operator="equal">
      <formula>"Answer Required"</formula>
    </cfRule>
  </conditionalFormatting>
  <conditionalFormatting sqref="E126:E128">
    <cfRule type="cellIs" dxfId="268" priority="5" operator="equal">
      <formula>"Answer Required"</formula>
    </cfRule>
  </conditionalFormatting>
  <pageMargins left="0.7" right="0.2" top="0.75" bottom="0.75" header="0.3" footer="0.3"/>
  <pageSetup scale="64" orientation="portrait" cellComments="asDisplayed" r:id="rId3"/>
  <headerFooter>
    <oddHeader>&amp;C&amp;"Times New Roman,Bold"Attachment CU4
Financial Statement Template (FST)
&amp;A</oddHeader>
    <oddFooter>&amp;L&amp;"Times New Roman,Regular"&amp;F \ &amp;A&amp;RPage &amp;P</oddFooter>
  </headerFooter>
  <rowBreaks count="2" manualBreakCount="2">
    <brk id="58" max="16383" man="1"/>
    <brk id="108" max="16383"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395"/>
  <sheetViews>
    <sheetView showGridLines="0" zoomScale="90" zoomScaleNormal="90" zoomScaleSheetLayoutView="90" workbookViewId="0">
      <selection activeCell="C3" sqref="C3:E3"/>
    </sheetView>
  </sheetViews>
  <sheetFormatPr defaultColWidth="9.140625" defaultRowHeight="12.75"/>
  <cols>
    <col min="1" max="1" width="11.85546875" style="236" customWidth="1"/>
    <col min="2" max="2" width="20.7109375" style="236" customWidth="1"/>
    <col min="3" max="3" width="18.5703125" style="236" customWidth="1"/>
    <col min="4" max="4" width="22" style="236" customWidth="1"/>
    <col min="5" max="6" width="25.7109375" style="236" customWidth="1"/>
    <col min="7" max="7" width="20.7109375" style="236" customWidth="1"/>
    <col min="8" max="8" width="23.42578125" style="236" customWidth="1"/>
    <col min="9" max="9" width="3.42578125" style="236" customWidth="1"/>
    <col min="10" max="10" width="26.140625" style="236" customWidth="1"/>
    <col min="11" max="16384" width="9.140625" style="236"/>
  </cols>
  <sheetData>
    <row r="1" spans="1:8" ht="27" customHeight="1">
      <c r="A1" s="1230" t="s">
        <v>507</v>
      </c>
      <c r="B1" s="1231"/>
      <c r="C1" s="1240" t="str">
        <f>'Component Unit Template'!G1</f>
        <v/>
      </c>
      <c r="D1" s="1241"/>
      <c r="E1" s="1242"/>
    </row>
    <row r="2" spans="1:8" ht="39.75" customHeight="1">
      <c r="A2" s="1232" t="s">
        <v>528</v>
      </c>
      <c r="B2" s="1233"/>
      <c r="C2" s="1243" t="str">
        <f>IF('Component Unit Template'!G2="","",'Component Unit Template'!G2)</f>
        <v/>
      </c>
      <c r="D2" s="1241"/>
      <c r="E2" s="1242"/>
      <c r="F2" s="21"/>
      <c r="G2" s="21"/>
      <c r="H2" s="19"/>
    </row>
    <row r="3" spans="1:8">
      <c r="A3" s="1232" t="s">
        <v>450</v>
      </c>
      <c r="B3" s="1233"/>
      <c r="C3" s="1244" t="str">
        <f>IF('Component Unit Template'!G3="","",'Component Unit Template'!G3)</f>
        <v/>
      </c>
      <c r="D3" s="1245"/>
      <c r="E3" s="1246"/>
      <c r="F3" s="21"/>
      <c r="G3" s="21"/>
      <c r="H3" s="19"/>
    </row>
    <row r="4" spans="1:8">
      <c r="A4" s="1232" t="s">
        <v>315</v>
      </c>
      <c r="B4" s="1233"/>
      <c r="C4" s="1247" t="str">
        <f>IF('Component Unit Template'!G4="","",'Component Unit Template'!G4)</f>
        <v/>
      </c>
      <c r="D4" s="1248"/>
      <c r="E4" s="1249"/>
      <c r="F4" s="21"/>
      <c r="G4" s="21"/>
      <c r="H4" s="19"/>
    </row>
    <row r="5" spans="1:8">
      <c r="A5" s="1232" t="s">
        <v>677</v>
      </c>
      <c r="B5" s="1233"/>
      <c r="C5" s="1234" t="str">
        <f>IF('Component Unit Template'!G5="","",'Component Unit Template'!G5)</f>
        <v/>
      </c>
      <c r="D5" s="1235"/>
      <c r="E5" s="1236"/>
      <c r="F5" s="21"/>
      <c r="G5" s="21"/>
      <c r="H5" s="19"/>
    </row>
    <row r="6" spans="1:8">
      <c r="A6" s="1232" t="s">
        <v>36</v>
      </c>
      <c r="B6" s="1233"/>
      <c r="C6" s="1237" t="str">
        <f>IF('Component Unit Template'!G6="","",'Component Unit Template'!G6)</f>
        <v/>
      </c>
      <c r="D6" s="1238"/>
      <c r="E6" s="1239"/>
      <c r="F6" s="22"/>
      <c r="G6" s="22"/>
      <c r="H6" s="19"/>
    </row>
    <row r="7" spans="1:8">
      <c r="A7" s="60"/>
      <c r="B7" s="22"/>
      <c r="C7" s="21"/>
      <c r="D7" s="21"/>
      <c r="E7" s="21"/>
      <c r="F7" s="22"/>
      <c r="G7" s="22"/>
      <c r="H7" s="19"/>
    </row>
    <row r="8" spans="1:8" hidden="1">
      <c r="A8" s="732" t="s">
        <v>461</v>
      </c>
      <c r="B8" s="733"/>
      <c r="C8" s="734"/>
      <c r="D8" s="734"/>
      <c r="E8" s="734"/>
      <c r="F8" s="733"/>
      <c r="G8" s="22"/>
      <c r="H8" s="19"/>
    </row>
    <row r="9" spans="1:8" hidden="1">
      <c r="A9" s="732" t="s">
        <v>643</v>
      </c>
      <c r="B9" s="733"/>
      <c r="C9" s="734"/>
      <c r="D9" s="734"/>
      <c r="E9" s="734"/>
      <c r="F9" s="733"/>
      <c r="G9" s="22"/>
      <c r="H9" s="19"/>
    </row>
    <row r="10" spans="1:8" hidden="1">
      <c r="A10" s="60"/>
      <c r="B10" s="22"/>
      <c r="C10" s="21"/>
      <c r="D10" s="21"/>
      <c r="E10" s="21"/>
      <c r="F10" s="22"/>
      <c r="G10" s="22"/>
      <c r="H10" s="19"/>
    </row>
    <row r="11" spans="1:8" hidden="1">
      <c r="A11" s="735" t="s">
        <v>644</v>
      </c>
      <c r="B11" s="1216"/>
      <c r="C11" s="1217"/>
      <c r="D11" s="1218"/>
      <c r="E11" s="21"/>
      <c r="F11" s="22"/>
      <c r="G11" s="22"/>
      <c r="H11" s="19"/>
    </row>
    <row r="12" spans="1:8" hidden="1">
      <c r="A12" s="735" t="s">
        <v>645</v>
      </c>
      <c r="B12" s="1224"/>
      <c r="C12" s="1217"/>
      <c r="D12" s="1218"/>
      <c r="E12" s="21"/>
      <c r="F12" s="22"/>
      <c r="G12" s="22"/>
      <c r="H12" s="19"/>
    </row>
    <row r="13" spans="1:8" hidden="1">
      <c r="A13" s="735" t="s">
        <v>646</v>
      </c>
      <c r="B13" s="1224"/>
      <c r="C13" s="1217"/>
      <c r="D13" s="1218"/>
      <c r="E13" s="21"/>
      <c r="F13" s="22"/>
      <c r="G13" s="22"/>
      <c r="H13" s="19"/>
    </row>
    <row r="14" spans="1:8" hidden="1">
      <c r="A14" s="735" t="s">
        <v>89</v>
      </c>
      <c r="B14" s="1224"/>
      <c r="C14" s="1217"/>
      <c r="D14" s="1218"/>
      <c r="E14" s="21"/>
      <c r="F14" s="22"/>
      <c r="G14" s="22"/>
      <c r="H14" s="19"/>
    </row>
    <row r="15" spans="1:8" hidden="1">
      <c r="A15" s="735" t="s">
        <v>90</v>
      </c>
      <c r="B15" s="1224"/>
      <c r="C15" s="1217"/>
      <c r="D15" s="1218"/>
      <c r="E15" s="21"/>
      <c r="F15" s="22"/>
      <c r="G15" s="22"/>
      <c r="H15" s="19"/>
    </row>
    <row r="16" spans="1:8" hidden="1">
      <c r="A16" s="735" t="s">
        <v>257</v>
      </c>
      <c r="B16" s="1224"/>
      <c r="C16" s="1217"/>
      <c r="D16" s="1218"/>
      <c r="E16" s="21"/>
      <c r="F16" s="22"/>
      <c r="G16" s="22"/>
      <c r="H16" s="19"/>
    </row>
    <row r="17" spans="1:8" hidden="1">
      <c r="A17" s="735" t="s">
        <v>258</v>
      </c>
      <c r="B17" s="1224"/>
      <c r="C17" s="1217"/>
      <c r="D17" s="1218"/>
      <c r="E17" s="21"/>
      <c r="F17" s="22"/>
      <c r="G17" s="22"/>
      <c r="H17" s="19"/>
    </row>
    <row r="18" spans="1:8" ht="30.75" hidden="1" customHeight="1">
      <c r="A18" s="735" t="s">
        <v>91</v>
      </c>
      <c r="B18" s="1224"/>
      <c r="C18" s="1217"/>
      <c r="D18" s="1218"/>
      <c r="E18" s="21"/>
      <c r="F18" s="22"/>
      <c r="G18" s="22"/>
      <c r="H18" s="19"/>
    </row>
    <row r="19" spans="1:8" ht="27" hidden="1" customHeight="1">
      <c r="A19" s="735" t="s">
        <v>92</v>
      </c>
      <c r="B19" s="1224"/>
      <c r="C19" s="1217"/>
      <c r="D19" s="1218"/>
      <c r="E19" s="21"/>
      <c r="F19" s="22"/>
      <c r="G19" s="22"/>
      <c r="H19" s="19"/>
    </row>
    <row r="20" spans="1:8" ht="12.75" hidden="1" customHeight="1">
      <c r="A20" s="735" t="s">
        <v>93</v>
      </c>
      <c r="B20" s="1213"/>
      <c r="C20" s="1214"/>
      <c r="D20" s="1215"/>
      <c r="E20" s="21"/>
      <c r="F20" s="22"/>
      <c r="G20" s="22"/>
      <c r="H20" s="19"/>
    </row>
    <row r="21" spans="1:8" hidden="1">
      <c r="A21" s="735" t="s">
        <v>260</v>
      </c>
      <c r="B21" s="1216"/>
      <c r="C21" s="1217"/>
      <c r="D21" s="1218"/>
      <c r="E21" s="21"/>
      <c r="F21" s="22"/>
      <c r="G21" s="22"/>
      <c r="H21" s="19"/>
    </row>
    <row r="22" spans="1:8" hidden="1">
      <c r="A22" s="735" t="s">
        <v>261</v>
      </c>
      <c r="B22" s="1216"/>
      <c r="C22" s="1217"/>
      <c r="D22" s="1218"/>
      <c r="E22" s="21"/>
      <c r="F22" s="22"/>
      <c r="G22" s="22"/>
      <c r="H22" s="19"/>
    </row>
    <row r="23" spans="1:8" hidden="1">
      <c r="A23" s="735" t="s">
        <v>262</v>
      </c>
      <c r="B23" s="1216"/>
      <c r="C23" s="1217"/>
      <c r="D23" s="1218"/>
      <c r="E23" s="21"/>
      <c r="F23" s="22"/>
      <c r="G23" s="22"/>
      <c r="H23" s="19"/>
    </row>
    <row r="24" spans="1:8" hidden="1">
      <c r="A24" s="735" t="s">
        <v>263</v>
      </c>
      <c r="B24" s="1216"/>
      <c r="C24" s="1217"/>
      <c r="D24" s="1218"/>
      <c r="E24" s="21"/>
      <c r="F24" s="22"/>
      <c r="G24" s="22"/>
      <c r="H24" s="19"/>
    </row>
    <row r="25" spans="1:8" hidden="1">
      <c r="A25" s="735" t="s">
        <v>88</v>
      </c>
      <c r="B25" s="1216"/>
      <c r="C25" s="1217"/>
      <c r="D25" s="1218"/>
      <c r="E25" s="21"/>
      <c r="F25" s="22"/>
      <c r="G25" s="22"/>
      <c r="H25" s="19"/>
    </row>
    <row r="26" spans="1:8">
      <c r="A26" s="18" t="s">
        <v>525</v>
      </c>
      <c r="B26" s="413"/>
      <c r="C26" s="374"/>
      <c r="D26" s="374"/>
      <c r="E26" s="21"/>
      <c r="F26" s="22"/>
      <c r="G26" s="22"/>
      <c r="H26" s="19"/>
    </row>
    <row r="27" spans="1:8">
      <c r="A27" s="18" t="str">
        <f>'Component Unit Template'!A35</f>
        <v>For the Year Ended June 30, 2024</v>
      </c>
      <c r="B27" s="413"/>
      <c r="C27" s="374"/>
      <c r="D27" s="374"/>
      <c r="E27" s="21"/>
      <c r="F27" s="22"/>
      <c r="G27" s="22"/>
      <c r="H27" s="19"/>
    </row>
    <row r="28" spans="1:8" ht="13.5" thickBot="1">
      <c r="A28" s="61"/>
      <c r="B28" s="62"/>
      <c r="C28" s="63"/>
      <c r="D28" s="63"/>
      <c r="E28" s="63"/>
      <c r="F28" s="62"/>
      <c r="G28" s="62"/>
      <c r="H28" s="64"/>
    </row>
    <row r="29" spans="1:8">
      <c r="A29" s="60"/>
      <c r="B29" s="22"/>
      <c r="C29" s="21"/>
      <c r="D29" s="21"/>
      <c r="E29" s="21"/>
      <c r="F29" s="22"/>
      <c r="G29" s="22"/>
      <c r="H29" s="19"/>
    </row>
    <row r="30" spans="1:8">
      <c r="A30" s="60"/>
      <c r="B30" s="22"/>
      <c r="C30" s="21"/>
      <c r="D30" s="21"/>
      <c r="E30" s="21"/>
      <c r="F30" s="22"/>
      <c r="G30" s="22"/>
      <c r="H30" s="19"/>
    </row>
    <row r="31" spans="1:8">
      <c r="A31" s="32" t="s">
        <v>425</v>
      </c>
      <c r="B31" s="19" t="s">
        <v>1600</v>
      </c>
      <c r="C31" s="23"/>
      <c r="D31" s="21"/>
      <c r="E31" s="19"/>
      <c r="F31" s="19"/>
      <c r="G31" s="19"/>
      <c r="H31" s="31">
        <f>'Component Unit Template'!K40</f>
        <v>0</v>
      </c>
    </row>
    <row r="32" spans="1:8">
      <c r="A32" s="32"/>
      <c r="B32" s="19" t="s">
        <v>1618</v>
      </c>
      <c r="C32" s="23"/>
      <c r="D32" s="21"/>
      <c r="E32" s="19"/>
      <c r="F32" s="19"/>
      <c r="G32" s="19"/>
      <c r="H32" s="31">
        <f>'Component Unit Template'!K89</f>
        <v>0</v>
      </c>
    </row>
    <row r="33" spans="1:9" ht="13.5" thickBot="1">
      <c r="A33" s="32"/>
      <c r="B33" s="19" t="s">
        <v>996</v>
      </c>
      <c r="C33" s="23"/>
      <c r="D33" s="21"/>
      <c r="E33" s="19"/>
      <c r="F33" s="19"/>
      <c r="G33" s="19"/>
      <c r="H33" s="65">
        <f>H31+H32</f>
        <v>0</v>
      </c>
    </row>
    <row r="34" spans="1:9" ht="13.5" thickTop="1">
      <c r="A34" s="32"/>
      <c r="B34" s="18" t="s">
        <v>183</v>
      </c>
      <c r="C34" s="23"/>
      <c r="D34" s="21"/>
      <c r="E34" s="19"/>
      <c r="F34" s="19"/>
      <c r="G34" s="19"/>
      <c r="H34" s="25"/>
    </row>
    <row r="35" spans="1:9">
      <c r="A35" s="32"/>
      <c r="B35" s="19" t="s">
        <v>647</v>
      </c>
      <c r="C35" s="23"/>
      <c r="D35" s="21"/>
      <c r="E35" s="19"/>
      <c r="F35" s="19"/>
      <c r="G35" s="131"/>
      <c r="H35" s="508"/>
    </row>
    <row r="36" spans="1:9">
      <c r="A36" s="32"/>
      <c r="B36" s="19"/>
      <c r="C36" s="23"/>
      <c r="D36" s="21"/>
      <c r="E36" s="19"/>
      <c r="F36" s="19"/>
      <c r="G36" s="19"/>
      <c r="H36" s="25"/>
    </row>
    <row r="37" spans="1:9">
      <c r="A37" s="32" t="s">
        <v>426</v>
      </c>
      <c r="B37" s="18" t="s">
        <v>997</v>
      </c>
      <c r="C37" s="23"/>
      <c r="D37" s="21"/>
      <c r="E37" s="19"/>
      <c r="F37" s="19"/>
      <c r="G37" s="19"/>
      <c r="H37" s="19"/>
    </row>
    <row r="38" spans="1:9">
      <c r="A38" s="32"/>
      <c r="B38" s="19" t="s">
        <v>427</v>
      </c>
      <c r="C38" s="23"/>
      <c r="D38" s="21"/>
      <c r="E38" s="19"/>
      <c r="F38" s="19"/>
      <c r="G38" s="19"/>
      <c r="H38" s="98">
        <f>'Component Unit Template'!K41</f>
        <v>0</v>
      </c>
    </row>
    <row r="39" spans="1:9" ht="15">
      <c r="A39" s="32"/>
      <c r="B39" s="19" t="s">
        <v>472</v>
      </c>
      <c r="C39" s="23"/>
      <c r="D39" s="21"/>
      <c r="E39" s="19"/>
      <c r="F39" s="19"/>
      <c r="G39" s="19"/>
      <c r="H39" s="24"/>
      <c r="I39" s="381" t="str">
        <f>IF(AND(H38&gt;0,H39=""),"Answer Required","")</f>
        <v/>
      </c>
    </row>
    <row r="40" spans="1:9">
      <c r="A40" s="32"/>
      <c r="B40" s="19" t="s">
        <v>114</v>
      </c>
      <c r="C40" s="23"/>
      <c r="D40" s="21"/>
      <c r="E40" s="19"/>
      <c r="F40" s="19"/>
      <c r="G40" s="19"/>
      <c r="H40" s="508"/>
    </row>
    <row r="41" spans="1:9" ht="9.75" customHeight="1">
      <c r="A41" s="32"/>
      <c r="B41" s="19"/>
      <c r="C41" s="23"/>
      <c r="D41" s="21"/>
      <c r="E41" s="19"/>
      <c r="F41" s="19"/>
      <c r="G41" s="19"/>
      <c r="H41" s="25"/>
    </row>
    <row r="42" spans="1:9">
      <c r="A42" s="32" t="s">
        <v>573</v>
      </c>
      <c r="B42" s="19" t="s">
        <v>574</v>
      </c>
      <c r="C42" s="23"/>
      <c r="D42" s="21"/>
      <c r="E42" s="19"/>
      <c r="F42" s="19"/>
      <c r="G42" s="131"/>
      <c r="H42" s="329"/>
    </row>
    <row r="43" spans="1:9">
      <c r="A43" s="32"/>
      <c r="B43" s="19" t="s">
        <v>972</v>
      </c>
      <c r="C43" s="23"/>
      <c r="D43" s="21"/>
      <c r="E43" s="19"/>
      <c r="F43" s="19"/>
      <c r="G43" s="131"/>
      <c r="H43" s="329"/>
    </row>
    <row r="44" spans="1:9">
      <c r="A44" s="32"/>
      <c r="B44" s="19" t="s">
        <v>969</v>
      </c>
      <c r="C44" s="23"/>
      <c r="D44" s="21"/>
      <c r="E44" s="19"/>
      <c r="F44" s="19"/>
      <c r="G44" s="131"/>
      <c r="H44" s="533"/>
    </row>
    <row r="45" spans="1:9">
      <c r="A45" s="32"/>
      <c r="B45" s="19" t="s">
        <v>970</v>
      </c>
      <c r="C45" s="23"/>
      <c r="D45" s="21"/>
      <c r="E45" s="19"/>
      <c r="F45" s="19"/>
      <c r="G45" s="131"/>
      <c r="H45" s="533"/>
    </row>
    <row r="46" spans="1:9">
      <c r="A46" s="32"/>
      <c r="B46" s="19" t="s">
        <v>971</v>
      </c>
      <c r="C46" s="23"/>
      <c r="D46" s="21"/>
      <c r="E46" s="19"/>
      <c r="F46" s="19"/>
      <c r="G46" s="131"/>
      <c r="H46" s="534">
        <f>H44+H45</f>
        <v>0</v>
      </c>
    </row>
    <row r="47" spans="1:9" ht="15">
      <c r="A47" s="32"/>
      <c r="B47" s="19" t="s">
        <v>1197</v>
      </c>
      <c r="C47" s="23"/>
      <c r="D47" s="21"/>
      <c r="E47" s="19"/>
      <c r="F47" s="19"/>
      <c r="G47" s="131"/>
      <c r="H47" s="533"/>
      <c r="I47" s="381" t="str">
        <f>IF(AND(H46&gt;0,H47=""),"Answer Required","")</f>
        <v/>
      </c>
    </row>
    <row r="48" spans="1:9" ht="9.75" customHeight="1">
      <c r="A48" s="324"/>
      <c r="B48" s="325"/>
      <c r="C48" s="326"/>
      <c r="D48" s="327"/>
      <c r="E48" s="325"/>
      <c r="F48" s="325"/>
      <c r="G48" s="328"/>
      <c r="H48" s="535"/>
    </row>
    <row r="49" spans="1:10">
      <c r="A49" s="32" t="s">
        <v>657</v>
      </c>
      <c r="B49" s="19" t="s">
        <v>1198</v>
      </c>
      <c r="C49" s="23"/>
      <c r="D49" s="21"/>
      <c r="E49" s="19"/>
      <c r="F49" s="19"/>
      <c r="G49" s="131"/>
      <c r="H49" s="534">
        <f>H39+H47</f>
        <v>0</v>
      </c>
      <c r="J49" s="19"/>
    </row>
    <row r="50" spans="1:10" ht="15.75">
      <c r="A50" s="324"/>
      <c r="B50" s="325"/>
      <c r="C50" s="326"/>
      <c r="D50" s="327"/>
      <c r="E50" s="325"/>
      <c r="F50" s="325"/>
      <c r="G50" s="328"/>
      <c r="H50" s="535"/>
      <c r="J50" s="19"/>
    </row>
    <row r="51" spans="1:10">
      <c r="A51" s="32" t="s">
        <v>428</v>
      </c>
      <c r="B51" s="19" t="s">
        <v>772</v>
      </c>
      <c r="C51" s="23"/>
      <c r="D51" s="21"/>
      <c r="E51" s="19"/>
      <c r="F51" s="19"/>
      <c r="G51" s="19"/>
      <c r="H51" s="29" t="s">
        <v>470</v>
      </c>
    </row>
    <row r="52" spans="1:10" ht="15">
      <c r="A52" s="32"/>
      <c r="B52" s="19" t="s">
        <v>1199</v>
      </c>
      <c r="C52" s="23"/>
      <c r="D52" s="21"/>
      <c r="E52" s="19"/>
      <c r="F52" s="19"/>
      <c r="G52" s="19"/>
      <c r="H52" s="24"/>
      <c r="I52" s="381" t="str">
        <f>IF(AND(H49&gt;0,H52=""),"Answer Required","")</f>
        <v/>
      </c>
    </row>
    <row r="53" spans="1:10">
      <c r="A53" s="32"/>
      <c r="B53" s="19"/>
      <c r="C53" s="23"/>
      <c r="D53" s="21"/>
      <c r="E53" s="26"/>
      <c r="F53" s="26"/>
      <c r="G53" s="26"/>
      <c r="H53" s="19"/>
    </row>
    <row r="54" spans="1:10">
      <c r="A54" s="27"/>
      <c r="B54" s="28" t="s">
        <v>1345</v>
      </c>
      <c r="C54" s="404"/>
      <c r="D54" s="404"/>
      <c r="E54" s="26"/>
      <c r="F54" s="26"/>
      <c r="G54" s="26"/>
      <c r="H54" s="24"/>
    </row>
    <row r="55" spans="1:10">
      <c r="A55" s="32"/>
      <c r="B55" s="19"/>
      <c r="C55" s="23"/>
      <c r="D55" s="21"/>
      <c r="E55" s="19"/>
      <c r="F55" s="19"/>
      <c r="G55" s="19"/>
      <c r="H55" s="19"/>
    </row>
    <row r="56" spans="1:10">
      <c r="A56" s="32"/>
      <c r="B56" s="19" t="s">
        <v>1200</v>
      </c>
      <c r="C56" s="19"/>
      <c r="D56" s="19"/>
      <c r="E56" s="19"/>
      <c r="F56" s="29"/>
      <c r="G56" s="19"/>
      <c r="H56" s="19"/>
    </row>
    <row r="57" spans="1:10">
      <c r="A57" s="32"/>
      <c r="B57" s="19" t="s">
        <v>1201</v>
      </c>
      <c r="C57" s="19"/>
      <c r="D57" s="19"/>
      <c r="E57" s="19"/>
      <c r="F57" s="29"/>
      <c r="G57" s="19"/>
      <c r="H57" s="19"/>
    </row>
    <row r="58" spans="1:10">
      <c r="A58" s="32"/>
      <c r="B58" s="19" t="s">
        <v>115</v>
      </c>
      <c r="C58" s="19"/>
      <c r="D58" s="19"/>
      <c r="E58" s="19"/>
      <c r="F58" s="19"/>
      <c r="G58" s="19"/>
      <c r="H58" s="24"/>
    </row>
    <row r="59" spans="1:10">
      <c r="A59" s="32"/>
      <c r="B59" s="19" t="s">
        <v>116</v>
      </c>
      <c r="C59" s="19"/>
      <c r="D59" s="19"/>
      <c r="E59" s="19"/>
      <c r="F59" s="19"/>
      <c r="G59" s="19"/>
      <c r="H59" s="24"/>
    </row>
    <row r="60" spans="1:10">
      <c r="A60" s="32"/>
      <c r="B60" s="19" t="s">
        <v>188</v>
      </c>
      <c r="C60" s="19"/>
      <c r="D60" s="19"/>
      <c r="E60" s="19"/>
      <c r="F60" s="19"/>
      <c r="G60" s="19"/>
      <c r="H60" s="24"/>
    </row>
    <row r="61" spans="1:10">
      <c r="A61" s="32"/>
      <c r="B61" s="19"/>
      <c r="C61" s="23"/>
      <c r="D61" s="21"/>
      <c r="E61" s="19"/>
      <c r="F61" s="19"/>
      <c r="G61" s="19"/>
      <c r="H61" s="30"/>
      <c r="J61" s="164" t="s">
        <v>47</v>
      </c>
    </row>
    <row r="62" spans="1:10" ht="13.5" thickBot="1">
      <c r="A62" s="32"/>
      <c r="B62" s="19" t="s">
        <v>1202</v>
      </c>
      <c r="C62" s="23"/>
      <c r="D62" s="21"/>
      <c r="E62" s="19"/>
      <c r="F62" s="19"/>
      <c r="G62" s="19"/>
      <c r="H62" s="66">
        <f>IF((H52+H54+H58+H59+H60)=H49,H52+H54+H58+H59+H60,"ERROR")</f>
        <v>0</v>
      </c>
      <c r="J62" s="237">
        <f>(SUM(H52+H54+H58+H59+H60))-H49</f>
        <v>0</v>
      </c>
    </row>
    <row r="63" spans="1:10" ht="13.5" thickTop="1">
      <c r="A63" s="32"/>
      <c r="B63" s="19"/>
      <c r="C63" s="23"/>
      <c r="D63" s="21"/>
      <c r="E63" s="19"/>
      <c r="F63" s="19"/>
      <c r="G63" s="19"/>
      <c r="H63" s="25"/>
    </row>
    <row r="64" spans="1:10">
      <c r="A64" s="32"/>
      <c r="B64" s="19" t="s">
        <v>1203</v>
      </c>
      <c r="C64" s="23"/>
      <c r="D64" s="21"/>
      <c r="E64" s="19"/>
      <c r="F64" s="19"/>
      <c r="G64" s="19"/>
      <c r="H64" s="513" t="str">
        <f>IF(H52&gt;250000,"Answer Required","N/A")</f>
        <v>N/A</v>
      </c>
    </row>
    <row r="65" spans="1:9">
      <c r="A65" s="32"/>
      <c r="B65" s="19"/>
      <c r="C65" s="23"/>
      <c r="D65" s="21"/>
      <c r="E65" s="19"/>
      <c r="F65" s="19"/>
      <c r="G65" s="19"/>
      <c r="H65" s="30"/>
    </row>
    <row r="66" spans="1:9">
      <c r="A66" s="32" t="s">
        <v>555</v>
      </c>
      <c r="B66" s="18" t="s">
        <v>998</v>
      </c>
      <c r="C66" s="23"/>
      <c r="D66" s="21"/>
      <c r="E66" s="19"/>
      <c r="F66" s="19"/>
      <c r="G66" s="19"/>
      <c r="H66" s="19"/>
    </row>
    <row r="67" spans="1:9">
      <c r="A67" s="32"/>
      <c r="B67" s="19" t="s">
        <v>427</v>
      </c>
      <c r="C67" s="23"/>
      <c r="D67" s="21"/>
      <c r="E67" s="19"/>
      <c r="F67" s="19"/>
      <c r="G67" s="19"/>
      <c r="H67" s="98">
        <f>'Component Unit Template'!K90</f>
        <v>0</v>
      </c>
    </row>
    <row r="68" spans="1:9" ht="15">
      <c r="A68" s="32"/>
      <c r="B68" s="19" t="s">
        <v>472</v>
      </c>
      <c r="C68" s="23"/>
      <c r="D68" s="21"/>
      <c r="E68" s="19"/>
      <c r="F68" s="19"/>
      <c r="G68" s="19"/>
      <c r="H68" s="24"/>
      <c r="I68" s="381" t="str">
        <f>IF(AND(H67&gt;0,H68=""),"Answer Required","")</f>
        <v/>
      </c>
    </row>
    <row r="69" spans="1:9">
      <c r="A69" s="32"/>
      <c r="B69" s="19" t="s">
        <v>114</v>
      </c>
      <c r="C69" s="23"/>
      <c r="D69" s="21"/>
      <c r="E69" s="19"/>
      <c r="F69" s="19"/>
      <c r="G69" s="19"/>
      <c r="H69" s="508" t="str">
        <f>IF(H67&lt;0,"Answer Required","")</f>
        <v/>
      </c>
    </row>
    <row r="70" spans="1:9" ht="9.75" customHeight="1">
      <c r="A70" s="32"/>
      <c r="B70" s="19"/>
      <c r="C70" s="23"/>
      <c r="D70" s="21"/>
      <c r="E70" s="19"/>
      <c r="F70" s="19"/>
      <c r="G70" s="19"/>
      <c r="H70" s="19"/>
    </row>
    <row r="71" spans="1:9">
      <c r="A71" s="32" t="s">
        <v>575</v>
      </c>
      <c r="B71" s="19" t="s">
        <v>1372</v>
      </c>
      <c r="C71" s="23"/>
      <c r="D71" s="21"/>
      <c r="E71" s="19"/>
      <c r="F71" s="19"/>
      <c r="G71" s="131"/>
      <c r="H71" s="329"/>
    </row>
    <row r="72" spans="1:9">
      <c r="A72" s="32"/>
      <c r="B72" s="19" t="s">
        <v>972</v>
      </c>
      <c r="C72" s="23"/>
      <c r="D72" s="21"/>
      <c r="E72" s="19"/>
      <c r="F72" s="19"/>
      <c r="G72" s="131"/>
      <c r="H72" s="535"/>
    </row>
    <row r="73" spans="1:9">
      <c r="A73" s="32"/>
      <c r="B73" s="19" t="s">
        <v>969</v>
      </c>
      <c r="C73" s="23"/>
      <c r="D73" s="21"/>
      <c r="E73" s="19"/>
      <c r="F73" s="19"/>
      <c r="G73" s="131"/>
      <c r="H73" s="533"/>
    </row>
    <row r="74" spans="1:9">
      <c r="A74" s="32"/>
      <c r="B74" s="19" t="s">
        <v>970</v>
      </c>
      <c r="C74" s="23"/>
      <c r="D74" s="21"/>
      <c r="E74" s="19"/>
      <c r="F74" s="19"/>
      <c r="G74" s="131"/>
      <c r="H74" s="533"/>
    </row>
    <row r="75" spans="1:9">
      <c r="A75" s="32"/>
      <c r="B75" s="19" t="s">
        <v>971</v>
      </c>
      <c r="C75" s="23"/>
      <c r="D75" s="21"/>
      <c r="E75" s="19"/>
      <c r="F75" s="19"/>
      <c r="G75" s="131"/>
      <c r="H75" s="534">
        <f>H73+H74</f>
        <v>0</v>
      </c>
    </row>
    <row r="76" spans="1:9" ht="15">
      <c r="A76" s="32"/>
      <c r="B76" s="19" t="s">
        <v>1197</v>
      </c>
      <c r="C76" s="23"/>
      <c r="D76" s="21"/>
      <c r="E76" s="19"/>
      <c r="F76" s="19"/>
      <c r="G76" s="131"/>
      <c r="H76" s="533"/>
      <c r="I76" s="381" t="str">
        <f>IF(AND(H75&gt;0,H76=""),"Answer Required","")</f>
        <v/>
      </c>
    </row>
    <row r="77" spans="1:9" ht="9.75" customHeight="1">
      <c r="A77" s="324"/>
      <c r="B77" s="325"/>
      <c r="C77" s="326"/>
      <c r="D77" s="327"/>
      <c r="E77" s="325"/>
      <c r="F77" s="325"/>
      <c r="G77" s="328"/>
      <c r="H77" s="535"/>
    </row>
    <row r="78" spans="1:9">
      <c r="A78" s="32" t="s">
        <v>576</v>
      </c>
      <c r="B78" s="19" t="s">
        <v>1204</v>
      </c>
      <c r="C78" s="23"/>
      <c r="D78" s="21"/>
      <c r="E78" s="19"/>
      <c r="F78" s="19"/>
      <c r="G78" s="131"/>
      <c r="H78" s="534">
        <f>H68+H76</f>
        <v>0</v>
      </c>
    </row>
    <row r="79" spans="1:9">
      <c r="A79" s="32"/>
      <c r="B79" s="19"/>
      <c r="C79" s="23"/>
      <c r="D79" s="21"/>
      <c r="E79" s="19"/>
      <c r="F79" s="19"/>
      <c r="G79" s="19"/>
      <c r="H79" s="19"/>
    </row>
    <row r="80" spans="1:9">
      <c r="A80" s="32" t="s">
        <v>556</v>
      </c>
      <c r="B80" s="19" t="s">
        <v>832</v>
      </c>
      <c r="C80" s="23"/>
      <c r="D80" s="21"/>
      <c r="E80" s="19"/>
      <c r="F80" s="19"/>
      <c r="G80" s="19"/>
      <c r="H80" s="29" t="s">
        <v>470</v>
      </c>
    </row>
    <row r="81" spans="1:10">
      <c r="A81" s="32"/>
      <c r="B81" s="19" t="s">
        <v>1205</v>
      </c>
      <c r="C81" s="23"/>
      <c r="D81" s="21"/>
      <c r="E81" s="19"/>
      <c r="F81" s="19"/>
      <c r="G81" s="19"/>
      <c r="H81" s="24"/>
    </row>
    <row r="82" spans="1:10">
      <c r="A82" s="32"/>
      <c r="B82" s="19"/>
      <c r="C82" s="23"/>
      <c r="D82" s="21"/>
      <c r="E82" s="26"/>
      <c r="F82" s="26"/>
      <c r="G82" s="26"/>
      <c r="H82" s="19"/>
    </row>
    <row r="83" spans="1:10">
      <c r="A83" s="27"/>
      <c r="B83" s="28" t="s">
        <v>431</v>
      </c>
      <c r="C83" s="404"/>
      <c r="D83" s="404"/>
      <c r="E83" s="26"/>
      <c r="F83" s="26"/>
      <c r="G83" s="26"/>
      <c r="H83" s="24"/>
    </row>
    <row r="84" spans="1:10">
      <c r="A84" s="32"/>
      <c r="B84" s="19"/>
      <c r="C84" s="23"/>
      <c r="D84" s="21"/>
      <c r="E84" s="19"/>
      <c r="F84" s="19"/>
      <c r="G84" s="19"/>
      <c r="H84" s="19"/>
    </row>
    <row r="85" spans="1:10">
      <c r="A85" s="32"/>
      <c r="B85" s="19" t="s">
        <v>1688</v>
      </c>
      <c r="C85" s="19"/>
      <c r="D85" s="19"/>
      <c r="E85" s="19"/>
      <c r="F85" s="29"/>
      <c r="G85" s="19"/>
      <c r="H85" s="19"/>
    </row>
    <row r="86" spans="1:10" hidden="1">
      <c r="A86" s="32"/>
      <c r="B86" s="19"/>
      <c r="C86" s="19"/>
      <c r="D86" s="19"/>
      <c r="E86" s="19"/>
      <c r="F86" s="29"/>
      <c r="G86" s="19"/>
      <c r="H86" s="19"/>
    </row>
    <row r="87" spans="1:10">
      <c r="A87" s="32"/>
      <c r="B87" s="19" t="s">
        <v>115</v>
      </c>
      <c r="C87" s="19"/>
      <c r="D87" s="19"/>
      <c r="E87" s="19"/>
      <c r="F87" s="19"/>
      <c r="G87" s="19"/>
      <c r="H87" s="24"/>
    </row>
    <row r="88" spans="1:10">
      <c r="A88" s="32"/>
      <c r="B88" s="19" t="s">
        <v>116</v>
      </c>
      <c r="C88" s="19"/>
      <c r="D88" s="19"/>
      <c r="E88" s="19"/>
      <c r="F88" s="19"/>
      <c r="G88" s="19"/>
      <c r="H88" s="24"/>
    </row>
    <row r="89" spans="1:10">
      <c r="A89" s="32"/>
      <c r="B89" s="19" t="s">
        <v>188</v>
      </c>
      <c r="C89" s="19"/>
      <c r="D89" s="19"/>
      <c r="E89" s="19"/>
      <c r="F89" s="19"/>
      <c r="G89" s="19"/>
      <c r="H89" s="24"/>
    </row>
    <row r="90" spans="1:10">
      <c r="A90" s="32"/>
      <c r="B90" s="19" t="s">
        <v>554</v>
      </c>
      <c r="C90" s="19"/>
      <c r="D90" s="19"/>
      <c r="E90" s="19"/>
      <c r="F90" s="19"/>
      <c r="G90" s="19"/>
      <c r="H90" s="19"/>
    </row>
    <row r="91" spans="1:10">
      <c r="A91" s="32"/>
      <c r="B91" s="19"/>
      <c r="C91" s="23"/>
      <c r="D91" s="21"/>
      <c r="E91" s="19"/>
      <c r="F91" s="19"/>
      <c r="G91" s="19"/>
      <c r="H91" s="30"/>
      <c r="J91" s="164" t="s">
        <v>47</v>
      </c>
    </row>
    <row r="92" spans="1:10" ht="13.5" thickBot="1">
      <c r="A92" s="32"/>
      <c r="B92" s="19" t="s">
        <v>1206</v>
      </c>
      <c r="C92" s="23"/>
      <c r="D92" s="21"/>
      <c r="E92" s="19"/>
      <c r="F92" s="19"/>
      <c r="G92" s="19"/>
      <c r="H92" s="66">
        <f>IF((H81+H83+H87+H88+H89)=H78,H81+H83+H87+H88+H89,"ERROR")</f>
        <v>0</v>
      </c>
      <c r="J92" s="237">
        <f>(SUM(H81+H83+H87+H88+H89))-H78</f>
        <v>0</v>
      </c>
    </row>
    <row r="93" spans="1:10" ht="13.5" thickTop="1">
      <c r="A93" s="32"/>
      <c r="B93" s="19"/>
      <c r="C93" s="23"/>
      <c r="D93" s="21"/>
      <c r="E93" s="19"/>
      <c r="F93" s="19"/>
      <c r="G93" s="19"/>
      <c r="H93" s="25"/>
    </row>
    <row r="94" spans="1:10">
      <c r="A94" s="32"/>
      <c r="B94" s="19" t="s">
        <v>1207</v>
      </c>
      <c r="C94" s="23"/>
      <c r="D94" s="21"/>
      <c r="E94" s="19"/>
      <c r="F94" s="19"/>
      <c r="G94" s="19"/>
      <c r="H94" s="513" t="str">
        <f>IF(H81&gt;250000,"Answer Required","N/A")</f>
        <v>N/A</v>
      </c>
    </row>
    <row r="95" spans="1:10">
      <c r="A95" s="32"/>
      <c r="B95" s="19"/>
      <c r="C95" s="23"/>
      <c r="D95" s="21"/>
      <c r="E95" s="19"/>
      <c r="F95" s="19"/>
      <c r="G95" s="19"/>
      <c r="H95" s="19"/>
    </row>
    <row r="96" spans="1:10">
      <c r="A96" s="32" t="s">
        <v>257</v>
      </c>
      <c r="B96" s="19" t="s">
        <v>1208</v>
      </c>
      <c r="C96" s="23"/>
      <c r="D96" s="21"/>
      <c r="E96" s="19"/>
      <c r="F96" s="19"/>
      <c r="G96" s="19"/>
      <c r="H96" s="31">
        <f>H38+H67</f>
        <v>0</v>
      </c>
    </row>
    <row r="97" spans="1:8">
      <c r="A97" s="32"/>
      <c r="B97" s="19" t="s">
        <v>1687</v>
      </c>
      <c r="C97" s="23"/>
      <c r="D97" s="21"/>
      <c r="E97" s="19"/>
      <c r="F97" s="19"/>
      <c r="G97" s="19"/>
      <c r="H97" s="31">
        <f>H49+H78</f>
        <v>0</v>
      </c>
    </row>
    <row r="98" spans="1:8">
      <c r="A98" s="32"/>
      <c r="B98" s="19"/>
      <c r="C98" s="23"/>
      <c r="D98" s="21"/>
      <c r="E98" s="19"/>
      <c r="F98" s="19"/>
      <c r="G98" s="19"/>
      <c r="H98" s="67"/>
    </row>
    <row r="99" spans="1:8">
      <c r="A99" s="402" t="s">
        <v>258</v>
      </c>
      <c r="B99" s="68" t="s">
        <v>999</v>
      </c>
      <c r="C99" s="68"/>
      <c r="D99" s="68"/>
      <c r="E99" s="19"/>
      <c r="F99" s="19"/>
      <c r="G99" s="19"/>
      <c r="H99" s="19"/>
    </row>
    <row r="100" spans="1:8">
      <c r="A100" s="402"/>
      <c r="B100" s="68"/>
      <c r="C100" s="68"/>
      <c r="D100" s="68"/>
      <c r="E100" s="19"/>
      <c r="F100" s="19"/>
      <c r="G100" s="19"/>
      <c r="H100" s="19"/>
    </row>
    <row r="101" spans="1:8">
      <c r="A101" s="402"/>
      <c r="B101" s="68" t="s">
        <v>137</v>
      </c>
      <c r="C101" s="68"/>
      <c r="D101" s="68"/>
      <c r="E101" s="19"/>
      <c r="F101" s="19"/>
      <c r="G101" s="19"/>
      <c r="H101" s="23" t="s">
        <v>205</v>
      </c>
    </row>
    <row r="102" spans="1:8" hidden="1">
      <c r="A102" s="68"/>
      <c r="B102" s="69" t="s">
        <v>138</v>
      </c>
      <c r="C102" s="70"/>
      <c r="D102" s="71"/>
      <c r="F102" s="19"/>
      <c r="G102" s="32" t="s">
        <v>72</v>
      </c>
      <c r="H102" s="98">
        <f>'Component Unit Template'!K45</f>
        <v>0</v>
      </c>
    </row>
    <row r="103" spans="1:8">
      <c r="A103" s="402"/>
      <c r="B103" s="69" t="s">
        <v>269</v>
      </c>
      <c r="C103" s="70"/>
      <c r="D103" s="71"/>
      <c r="E103" s="19"/>
      <c r="F103" s="19"/>
      <c r="G103" s="32" t="s">
        <v>72</v>
      </c>
      <c r="H103" s="98">
        <f>'Component Unit Template'!K93</f>
        <v>0</v>
      </c>
    </row>
    <row r="104" spans="1:8">
      <c r="A104" s="402"/>
      <c r="B104" s="69" t="s">
        <v>139</v>
      </c>
      <c r="C104" s="70"/>
      <c r="D104" s="71"/>
      <c r="E104" s="19"/>
      <c r="F104" s="19"/>
      <c r="G104" s="32" t="s">
        <v>72</v>
      </c>
      <c r="H104" s="98">
        <f>'Component Unit Template'!K47</f>
        <v>0</v>
      </c>
    </row>
    <row r="105" spans="1:8">
      <c r="A105" s="402"/>
      <c r="B105" s="72" t="s">
        <v>140</v>
      </c>
      <c r="C105" s="73"/>
      <c r="D105" s="74"/>
      <c r="E105" s="19"/>
      <c r="F105" s="19"/>
      <c r="G105" s="32" t="s">
        <v>72</v>
      </c>
      <c r="H105" s="98">
        <f>'Component Unit Template'!K95</f>
        <v>0</v>
      </c>
    </row>
    <row r="106" spans="1:8">
      <c r="A106" s="402"/>
      <c r="B106" s="68"/>
      <c r="C106" s="1225" t="s">
        <v>141</v>
      </c>
      <c r="D106" s="1226"/>
      <c r="E106" s="1226"/>
      <c r="F106" s="1226"/>
      <c r="G106" s="1226"/>
      <c r="H106" s="170">
        <f>SUM(H102:H105)</f>
        <v>0</v>
      </c>
    </row>
    <row r="107" spans="1:8">
      <c r="A107" s="402"/>
      <c r="B107" s="68" t="s">
        <v>137</v>
      </c>
      <c r="C107" s="68"/>
      <c r="D107" s="68"/>
      <c r="E107" s="19"/>
      <c r="F107" s="19"/>
      <c r="G107" s="19"/>
      <c r="H107" s="23" t="s">
        <v>205</v>
      </c>
    </row>
    <row r="108" spans="1:8" hidden="1">
      <c r="A108" s="402"/>
      <c r="B108" s="69" t="s">
        <v>142</v>
      </c>
      <c r="C108" s="70"/>
      <c r="D108" s="71"/>
      <c r="E108" s="19"/>
      <c r="F108" s="19"/>
      <c r="G108" s="32" t="s">
        <v>72</v>
      </c>
      <c r="H108" s="98">
        <f>'Component Unit Template'!K51</f>
        <v>0</v>
      </c>
    </row>
    <row r="109" spans="1:8">
      <c r="A109" s="402"/>
      <c r="B109" s="69" t="s">
        <v>268</v>
      </c>
      <c r="C109" s="70"/>
      <c r="D109" s="71"/>
      <c r="E109" s="19"/>
      <c r="F109" s="19"/>
      <c r="G109" s="32" t="s">
        <v>72</v>
      </c>
      <c r="H109" s="98">
        <f>'Component Unit Template'!K99</f>
        <v>0</v>
      </c>
    </row>
    <row r="110" spans="1:8">
      <c r="A110" s="402"/>
      <c r="B110" s="69" t="s">
        <v>143</v>
      </c>
      <c r="C110" s="70"/>
      <c r="D110" s="71"/>
      <c r="E110" s="19"/>
      <c r="F110" s="19"/>
      <c r="G110" s="32" t="s">
        <v>72</v>
      </c>
      <c r="H110" s="98">
        <f>'Component Unit Template'!K55</f>
        <v>0</v>
      </c>
    </row>
    <row r="111" spans="1:8">
      <c r="A111" s="402"/>
      <c r="B111" s="72" t="s">
        <v>279</v>
      </c>
      <c r="C111" s="73"/>
      <c r="D111" s="74"/>
      <c r="E111" s="19"/>
      <c r="F111" s="19"/>
      <c r="G111" s="32" t="s">
        <v>72</v>
      </c>
      <c r="H111" s="98">
        <f>'Component Unit Template'!K102</f>
        <v>0</v>
      </c>
    </row>
    <row r="112" spans="1:8">
      <c r="A112" s="402"/>
      <c r="B112" s="68"/>
      <c r="C112" s="1225" t="s">
        <v>141</v>
      </c>
      <c r="D112" s="1226"/>
      <c r="E112" s="1226"/>
      <c r="F112" s="1226"/>
      <c r="G112" s="1226"/>
      <c r="H112" s="169">
        <f>SUM(H108:H111)</f>
        <v>0</v>
      </c>
    </row>
    <row r="113" spans="1:10" ht="13.5" thickBot="1">
      <c r="A113" s="402"/>
      <c r="B113" s="68"/>
      <c r="D113"/>
      <c r="E113"/>
      <c r="F113"/>
      <c r="G113" s="402" t="s">
        <v>1294</v>
      </c>
      <c r="H113" s="168">
        <f>SUM(H106,H112)-SUM(H46,H75)</f>
        <v>0</v>
      </c>
    </row>
    <row r="114" spans="1:10" ht="13.5" thickTop="1">
      <c r="A114" s="402"/>
      <c r="B114" s="68"/>
      <c r="D114"/>
      <c r="E114"/>
      <c r="F114"/>
      <c r="G114" s="32" t="s">
        <v>1001</v>
      </c>
      <c r="H114" s="738"/>
      <c r="J114" s="164" t="s">
        <v>47</v>
      </c>
    </row>
    <row r="115" spans="1:10">
      <c r="A115" s="402"/>
      <c r="B115" s="68"/>
      <c r="D115"/>
      <c r="E115"/>
      <c r="F115"/>
      <c r="G115" s="32" t="s">
        <v>176</v>
      </c>
      <c r="H115" s="34" t="str">
        <f>IF(H113=SUM('Tab 1B-Cash Eq. &amp; Inv. Not w Tr'!Y:Y),"Agrees","ERROR")</f>
        <v>Agrees</v>
      </c>
      <c r="J115" s="134">
        <f>SUM(H113-SUM('Tab 1B-Cash Eq. &amp; Inv. Not w Tr'!Y:Y))</f>
        <v>0</v>
      </c>
    </row>
    <row r="116" spans="1:10">
      <c r="A116" s="402"/>
      <c r="B116" s="68"/>
      <c r="D116" s="512"/>
      <c r="E116" s="512"/>
      <c r="F116" s="512"/>
    </row>
    <row r="117" spans="1:10">
      <c r="A117" s="402"/>
      <c r="B117" s="68"/>
      <c r="C117" s="32"/>
      <c r="D117" s="512"/>
      <c r="E117" s="512"/>
      <c r="F117" s="512"/>
      <c r="G117" s="512"/>
      <c r="H117" s="29"/>
      <c r="J117" s="237"/>
    </row>
    <row r="118" spans="1:10">
      <c r="A118" s="402"/>
      <c r="B118" s="68" t="s">
        <v>1002</v>
      </c>
      <c r="C118" s="32"/>
      <c r="D118" s="512"/>
      <c r="E118" s="512"/>
      <c r="F118" s="512"/>
      <c r="G118" s="512"/>
      <c r="H118" s="23" t="s">
        <v>37</v>
      </c>
      <c r="J118" s="237"/>
    </row>
    <row r="119" spans="1:10">
      <c r="A119" s="402"/>
      <c r="B119" s="68" t="s">
        <v>1275</v>
      </c>
      <c r="C119" s="32"/>
      <c r="D119" s="512"/>
      <c r="E119" s="512"/>
      <c r="F119" s="512"/>
      <c r="G119" s="512"/>
      <c r="H119" s="360" t="str">
        <f>IF(H113=0,"N/A","Answer Required")</f>
        <v>N/A</v>
      </c>
      <c r="J119" s="237"/>
    </row>
    <row r="120" spans="1:10">
      <c r="A120" s="402"/>
      <c r="B120" s="68" t="s">
        <v>1000</v>
      </c>
      <c r="C120" s="32"/>
      <c r="D120" s="512"/>
      <c r="E120" s="512"/>
      <c r="F120" s="512"/>
      <c r="G120" s="512"/>
      <c r="H120" s="29"/>
      <c r="J120" s="237"/>
    </row>
    <row r="121" spans="1:10" ht="80.099999999999994" customHeight="1">
      <c r="A121" s="402"/>
      <c r="B121" s="1227" t="str">
        <f>IF(H119="Yes","Answer Required","N/A")</f>
        <v>N/A</v>
      </c>
      <c r="C121" s="1228"/>
      <c r="D121" s="1228"/>
      <c r="E121" s="1228"/>
      <c r="F121" s="1228"/>
      <c r="G121" s="1229"/>
      <c r="H121" s="29"/>
      <c r="J121" s="237"/>
    </row>
    <row r="122" spans="1:10">
      <c r="A122" s="522"/>
      <c r="B122" s="523"/>
      <c r="C122" s="32"/>
      <c r="D122" s="512"/>
      <c r="E122" s="512"/>
      <c r="F122" s="512"/>
      <c r="G122" s="512"/>
      <c r="H122" s="29"/>
      <c r="J122" s="237"/>
    </row>
    <row r="123" spans="1:10">
      <c r="A123" s="522"/>
      <c r="B123" s="523"/>
      <c r="C123" s="32"/>
      <c r="D123" s="512"/>
      <c r="E123" s="512"/>
      <c r="F123" s="512"/>
      <c r="G123" s="512"/>
      <c r="H123" s="29"/>
      <c r="J123" s="237"/>
    </row>
    <row r="124" spans="1:10">
      <c r="A124" s="522" t="s">
        <v>273</v>
      </c>
      <c r="B124" s="523" t="s">
        <v>280</v>
      </c>
      <c r="C124" s="523"/>
      <c r="D124" s="523"/>
      <c r="E124" s="523"/>
      <c r="F124" s="522"/>
      <c r="G124" s="523"/>
      <c r="H124" s="68"/>
    </row>
    <row r="125" spans="1:10">
      <c r="A125" s="524"/>
      <c r="B125" s="523" t="s">
        <v>1604</v>
      </c>
      <c r="C125" s="525"/>
      <c r="D125" s="523"/>
      <c r="E125" s="523"/>
      <c r="F125" s="522"/>
      <c r="G125" s="523"/>
      <c r="H125" s="68"/>
    </row>
    <row r="126" spans="1:10">
      <c r="A126" s="524"/>
      <c r="B126" s="523"/>
      <c r="C126" s="525"/>
      <c r="D126" s="523"/>
      <c r="E126" s="523"/>
      <c r="F126" s="522"/>
      <c r="G126" s="523"/>
      <c r="H126" s="68"/>
    </row>
    <row r="127" spans="1:10">
      <c r="A127" s="524"/>
      <c r="B127" s="523"/>
      <c r="C127" s="525"/>
      <c r="D127" s="19" t="s">
        <v>274</v>
      </c>
      <c r="E127" s="19"/>
      <c r="F127" s="19"/>
      <c r="G127" s="19"/>
      <c r="H127" s="23" t="s">
        <v>205</v>
      </c>
    </row>
    <row r="128" spans="1:10">
      <c r="A128" s="522"/>
      <c r="B128" s="523"/>
      <c r="C128" s="523"/>
      <c r="D128" s="1209"/>
      <c r="E128" s="1210"/>
      <c r="F128" s="1211"/>
      <c r="G128" s="19"/>
      <c r="H128" s="167"/>
    </row>
    <row r="129" spans="1:10">
      <c r="A129" s="522"/>
      <c r="B129" s="523"/>
      <c r="C129" s="523"/>
      <c r="D129" s="1209"/>
      <c r="E129" s="1210"/>
      <c r="F129" s="1211"/>
      <c r="G129" s="19"/>
      <c r="H129" s="167"/>
    </row>
    <row r="130" spans="1:10">
      <c r="A130" s="522"/>
      <c r="B130" s="523"/>
      <c r="C130" s="523"/>
      <c r="D130" s="1209"/>
      <c r="E130" s="1210"/>
      <c r="F130" s="1211"/>
      <c r="G130" s="19"/>
      <c r="H130" s="167"/>
      <c r="J130" s="164" t="s">
        <v>47</v>
      </c>
    </row>
    <row r="131" spans="1:10" ht="13.5" thickBot="1">
      <c r="A131" s="522"/>
      <c r="B131" s="523"/>
      <c r="C131" s="1207" t="s">
        <v>281</v>
      </c>
      <c r="D131" s="1208"/>
      <c r="E131" s="1208"/>
      <c r="F131" s="1208"/>
      <c r="G131" s="1208"/>
      <c r="H131" s="168">
        <f>IF((H128+H129+H130)='Component Unit Template'!K46,H128+H129+H130,"ERROR")</f>
        <v>0</v>
      </c>
      <c r="J131" s="237">
        <f>(SUM(H128+H129+H130))-'Component Unit Template'!K46</f>
        <v>0</v>
      </c>
    </row>
    <row r="132" spans="1:10" ht="13.5" thickTop="1">
      <c r="A132" s="522"/>
      <c r="B132" s="523"/>
      <c r="C132" s="523"/>
      <c r="D132" s="523"/>
      <c r="E132" s="523"/>
      <c r="F132" s="523"/>
      <c r="G132" s="522"/>
      <c r="H132" s="75"/>
    </row>
    <row r="133" spans="1:10">
      <c r="A133" s="524"/>
      <c r="B133" s="523" t="s">
        <v>1605</v>
      </c>
      <c r="C133" s="525"/>
      <c r="D133" s="523"/>
      <c r="E133" s="523"/>
      <c r="F133" s="523"/>
      <c r="G133" s="522"/>
      <c r="H133" s="68"/>
    </row>
    <row r="134" spans="1:10">
      <c r="A134" s="524"/>
      <c r="B134" s="523"/>
      <c r="C134" s="525"/>
      <c r="D134" s="523"/>
      <c r="E134" s="523"/>
      <c r="F134" s="523"/>
      <c r="G134" s="522"/>
      <c r="H134" s="68"/>
    </row>
    <row r="135" spans="1:10">
      <c r="A135" s="524"/>
      <c r="B135" s="523"/>
      <c r="C135" s="525"/>
      <c r="D135" s="19" t="s">
        <v>274</v>
      </c>
      <c r="E135" s="19"/>
      <c r="F135" s="19"/>
      <c r="G135" s="19"/>
      <c r="H135" s="23" t="s">
        <v>205</v>
      </c>
    </row>
    <row r="136" spans="1:10">
      <c r="A136" s="522"/>
      <c r="B136" s="523"/>
      <c r="C136" s="523"/>
      <c r="D136" s="1209"/>
      <c r="E136" s="1210"/>
      <c r="F136" s="1211"/>
      <c r="G136" s="19"/>
      <c r="H136" s="167"/>
    </row>
    <row r="137" spans="1:10">
      <c r="A137" s="522"/>
      <c r="B137" s="523"/>
      <c r="C137" s="523"/>
      <c r="D137" s="1209"/>
      <c r="E137" s="1210"/>
      <c r="F137" s="1211"/>
      <c r="G137" s="19"/>
      <c r="H137" s="167"/>
    </row>
    <row r="138" spans="1:10">
      <c r="A138" s="522"/>
      <c r="B138" s="523"/>
      <c r="C138" s="523"/>
      <c r="D138" s="1209"/>
      <c r="E138" s="1210"/>
      <c r="F138" s="1211"/>
      <c r="G138" s="19"/>
      <c r="H138" s="167"/>
      <c r="J138" s="164" t="s">
        <v>47</v>
      </c>
    </row>
    <row r="139" spans="1:10" ht="13.5" thickBot="1">
      <c r="A139" s="522"/>
      <c r="B139" s="523"/>
      <c r="C139" s="1207" t="s">
        <v>529</v>
      </c>
      <c r="D139" s="1208"/>
      <c r="E139" s="1208"/>
      <c r="F139" s="1208"/>
      <c r="G139" s="1208"/>
      <c r="H139" s="168">
        <f>IF((H136+H137+H138)='Component Unit Template'!K94,H136+H137+H138,"ERROR")</f>
        <v>0</v>
      </c>
      <c r="J139" s="237">
        <f>(SUM(H136+H137+H138))-'Component Unit Template'!K94</f>
        <v>0</v>
      </c>
    </row>
    <row r="140" spans="1:10" ht="13.5" thickTop="1">
      <c r="A140" s="522"/>
      <c r="B140" s="523"/>
      <c r="C140" s="523"/>
      <c r="D140" s="523"/>
      <c r="E140" s="523"/>
      <c r="F140" s="523"/>
      <c r="G140" s="522"/>
      <c r="H140" s="75"/>
    </row>
    <row r="141" spans="1:10">
      <c r="A141" s="522"/>
      <c r="B141" s="523" t="s">
        <v>1606</v>
      </c>
      <c r="C141" s="525"/>
      <c r="D141" s="523"/>
      <c r="E141" s="523"/>
      <c r="F141" s="523"/>
      <c r="G141" s="522"/>
      <c r="H141" s="75"/>
    </row>
    <row r="142" spans="1:10">
      <c r="A142" s="522"/>
      <c r="B142" s="523"/>
      <c r="C142" s="525"/>
      <c r="D142" s="523"/>
      <c r="E142" s="523"/>
      <c r="F142" s="523"/>
      <c r="G142" s="522"/>
      <c r="H142" s="75"/>
    </row>
    <row r="143" spans="1:10">
      <c r="A143" s="522"/>
      <c r="B143" s="523"/>
      <c r="C143" s="525"/>
      <c r="D143" s="19" t="s">
        <v>274</v>
      </c>
      <c r="E143" s="19"/>
      <c r="F143" s="19"/>
      <c r="G143" s="19"/>
      <c r="H143" s="23" t="s">
        <v>205</v>
      </c>
    </row>
    <row r="144" spans="1:10" ht="12" customHeight="1">
      <c r="A144" s="522"/>
      <c r="B144" s="523"/>
      <c r="C144" s="523"/>
      <c r="D144" s="1221" t="s">
        <v>1111</v>
      </c>
      <c r="E144" s="1222"/>
      <c r="F144" s="1223"/>
      <c r="G144" s="19"/>
      <c r="H144" s="167"/>
    </row>
    <row r="145" spans="1:10">
      <c r="A145" s="522"/>
      <c r="B145" s="523"/>
      <c r="C145" s="523"/>
      <c r="D145" s="1209"/>
      <c r="E145" s="1210"/>
      <c r="F145" s="1211"/>
      <c r="G145" s="19"/>
      <c r="H145" s="167"/>
    </row>
    <row r="146" spans="1:10">
      <c r="A146" s="522"/>
      <c r="B146" s="523"/>
      <c r="C146" s="523"/>
      <c r="D146" s="1209"/>
      <c r="E146" s="1210"/>
      <c r="F146" s="1211"/>
      <c r="G146" s="19"/>
      <c r="H146" s="167"/>
      <c r="J146" s="164" t="s">
        <v>47</v>
      </c>
    </row>
    <row r="147" spans="1:10" ht="13.5" thickBot="1">
      <c r="A147" s="522"/>
      <c r="B147" s="523"/>
      <c r="C147" s="1207" t="s">
        <v>580</v>
      </c>
      <c r="D147" s="1208"/>
      <c r="E147" s="1208"/>
      <c r="F147" s="1208"/>
      <c r="G147" s="1208"/>
      <c r="H147" s="168">
        <f>IF((H144+H145+H146)='Component Unit Template'!K54,H144+H145+H146,"ERROR")</f>
        <v>0</v>
      </c>
      <c r="J147" s="237">
        <f>(SUM(H144+H145+H146))-'Component Unit Template'!K54</f>
        <v>0</v>
      </c>
    </row>
    <row r="148" spans="1:10" ht="13.5" thickTop="1">
      <c r="A148" s="522"/>
      <c r="B148" s="523"/>
      <c r="C148" s="523"/>
      <c r="D148" s="523"/>
      <c r="E148" s="523"/>
      <c r="F148" s="523"/>
      <c r="G148" s="522"/>
      <c r="H148" s="76"/>
    </row>
    <row r="149" spans="1:10">
      <c r="A149" s="522"/>
      <c r="B149" s="523" t="s">
        <v>1607</v>
      </c>
      <c r="C149" s="525"/>
      <c r="D149" s="523"/>
      <c r="E149" s="523"/>
      <c r="F149" s="523"/>
      <c r="G149" s="522"/>
      <c r="H149" s="75"/>
    </row>
    <row r="150" spans="1:10">
      <c r="A150" s="522"/>
      <c r="B150" s="523"/>
      <c r="C150" s="525"/>
      <c r="D150" s="523"/>
      <c r="E150" s="523"/>
      <c r="F150" s="523"/>
      <c r="G150" s="522"/>
      <c r="H150" s="75"/>
    </row>
    <row r="151" spans="1:10">
      <c r="A151" s="522"/>
      <c r="B151" s="523"/>
      <c r="C151" s="525"/>
      <c r="D151" s="19" t="s">
        <v>274</v>
      </c>
      <c r="E151" s="19"/>
      <c r="F151" s="19"/>
      <c r="G151" s="19"/>
      <c r="H151" s="23" t="s">
        <v>205</v>
      </c>
    </row>
    <row r="152" spans="1:10">
      <c r="A152" s="522"/>
      <c r="B152" s="523"/>
      <c r="C152" s="523"/>
      <c r="D152" s="1221" t="s">
        <v>1112</v>
      </c>
      <c r="E152" s="1222"/>
      <c r="F152" s="1223"/>
      <c r="G152" s="19"/>
      <c r="H152" s="167"/>
    </row>
    <row r="153" spans="1:10">
      <c r="A153" s="522"/>
      <c r="B153" s="523"/>
      <c r="C153" s="523"/>
      <c r="D153" s="1209"/>
      <c r="E153" s="1210"/>
      <c r="F153" s="1211"/>
      <c r="G153" s="19"/>
      <c r="H153" s="167"/>
    </row>
    <row r="154" spans="1:10">
      <c r="A154" s="522"/>
      <c r="B154" s="523"/>
      <c r="C154" s="523"/>
      <c r="D154" s="1209"/>
      <c r="E154" s="1210"/>
      <c r="F154" s="1211"/>
      <c r="G154" s="19"/>
      <c r="H154" s="167"/>
      <c r="J154" s="164" t="s">
        <v>47</v>
      </c>
    </row>
    <row r="155" spans="1:10" ht="13.5" thickBot="1">
      <c r="A155" s="522"/>
      <c r="B155" s="523"/>
      <c r="C155" s="1207" t="s">
        <v>581</v>
      </c>
      <c r="D155" s="1208"/>
      <c r="E155" s="1208"/>
      <c r="F155" s="1208"/>
      <c r="G155" s="1208"/>
      <c r="H155" s="168">
        <f>IF((H152+H153+H154)='Component Unit Template'!K101,H152+H153+H154,"ERROR")</f>
        <v>0</v>
      </c>
      <c r="J155" s="237">
        <f>(SUM(H152+H153+H154))-'Component Unit Template'!K101</f>
        <v>0</v>
      </c>
    </row>
    <row r="156" spans="1:10" ht="13.5" thickTop="1">
      <c r="A156" s="522"/>
      <c r="B156" s="523"/>
      <c r="C156" s="523"/>
      <c r="D156" s="523"/>
      <c r="E156" s="523"/>
      <c r="F156" s="522"/>
      <c r="G156" s="523"/>
      <c r="H156" s="68"/>
    </row>
    <row r="157" spans="1:10">
      <c r="A157" s="522"/>
      <c r="B157" s="523"/>
      <c r="C157" s="523"/>
      <c r="D157" s="523"/>
      <c r="E157" s="523"/>
      <c r="F157" s="522"/>
      <c r="G157" s="523"/>
      <c r="H157" s="68"/>
    </row>
    <row r="158" spans="1:10">
      <c r="A158" s="522" t="s">
        <v>728</v>
      </c>
      <c r="B158" s="523" t="s">
        <v>1608</v>
      </c>
      <c r="C158" s="523"/>
      <c r="D158" s="523"/>
      <c r="E158" s="523"/>
      <c r="F158" s="522"/>
      <c r="G158" s="523"/>
      <c r="H158" s="68"/>
    </row>
    <row r="159" spans="1:10" ht="30" customHeight="1">
      <c r="A159" s="522"/>
      <c r="B159" s="523"/>
      <c r="C159" s="523"/>
      <c r="D159" s="523"/>
      <c r="E159" s="1193" t="s">
        <v>1095</v>
      </c>
      <c r="F159" s="1194"/>
      <c r="G159" s="564"/>
      <c r="H159" s="68"/>
    </row>
    <row r="160" spans="1:10" ht="45" customHeight="1">
      <c r="A160" s="522"/>
      <c r="B160" s="523"/>
      <c r="C160" s="523"/>
      <c r="D160" s="590" t="s">
        <v>1236</v>
      </c>
      <c r="E160" s="190" t="s">
        <v>1096</v>
      </c>
      <c r="F160" s="190" t="s">
        <v>1097</v>
      </c>
      <c r="G160" s="590" t="s">
        <v>1209</v>
      </c>
      <c r="H160" s="190" t="s">
        <v>1061</v>
      </c>
    </row>
    <row r="161" spans="1:8">
      <c r="A161" s="522"/>
      <c r="B161" s="523"/>
      <c r="C161" s="523"/>
      <c r="D161" s="737"/>
      <c r="E161" s="166"/>
      <c r="F161" s="166"/>
      <c r="G161" s="547" t="str">
        <f>IF(OR(E161&lt;&gt;"",F161&lt;&gt;""),"Answer Required","")</f>
        <v/>
      </c>
      <c r="H161" s="548" t="str">
        <f>IF(G161="","",IF(G161="No","Answer Required","N/A"))</f>
        <v/>
      </c>
    </row>
    <row r="162" spans="1:8">
      <c r="A162" s="522"/>
      <c r="B162" s="523"/>
      <c r="C162" s="523"/>
      <c r="D162" s="737"/>
      <c r="E162" s="166"/>
      <c r="F162" s="166"/>
      <c r="G162" s="547" t="str">
        <f t="shared" ref="G162:G180" si="0">IF(OR(E162&lt;&gt;"",F162&lt;&gt;""),"Answer Required","")</f>
        <v/>
      </c>
      <c r="H162" s="548" t="str">
        <f t="shared" ref="H162:H180" si="1">IF(G162="","",IF(G162="No","Answer Required","N/A"))</f>
        <v/>
      </c>
    </row>
    <row r="163" spans="1:8">
      <c r="A163" s="522"/>
      <c r="B163" s="523"/>
      <c r="C163" s="523"/>
      <c r="D163" s="737"/>
      <c r="E163" s="166"/>
      <c r="F163" s="166"/>
      <c r="G163" s="547" t="str">
        <f t="shared" si="0"/>
        <v/>
      </c>
      <c r="H163" s="548" t="str">
        <f t="shared" si="1"/>
        <v/>
      </c>
    </row>
    <row r="164" spans="1:8">
      <c r="A164" s="522"/>
      <c r="B164" s="523"/>
      <c r="C164" s="523"/>
      <c r="D164" s="737"/>
      <c r="E164" s="166"/>
      <c r="F164" s="166"/>
      <c r="G164" s="547" t="str">
        <f t="shared" si="0"/>
        <v/>
      </c>
      <c r="H164" s="548" t="str">
        <f t="shared" si="1"/>
        <v/>
      </c>
    </row>
    <row r="165" spans="1:8">
      <c r="A165" s="522"/>
      <c r="B165" s="523"/>
      <c r="C165" s="523"/>
      <c r="D165" s="737"/>
      <c r="E165" s="166"/>
      <c r="F165" s="166"/>
      <c r="G165" s="547" t="str">
        <f t="shared" si="0"/>
        <v/>
      </c>
      <c r="H165" s="548" t="str">
        <f t="shared" si="1"/>
        <v/>
      </c>
    </row>
    <row r="166" spans="1:8">
      <c r="A166" s="522"/>
      <c r="B166" s="523"/>
      <c r="C166" s="523"/>
      <c r="D166" s="737"/>
      <c r="E166" s="166"/>
      <c r="F166" s="166"/>
      <c r="G166" s="547" t="str">
        <f t="shared" si="0"/>
        <v/>
      </c>
      <c r="H166" s="548" t="str">
        <f t="shared" si="1"/>
        <v/>
      </c>
    </row>
    <row r="167" spans="1:8">
      <c r="A167" s="522"/>
      <c r="B167" s="523"/>
      <c r="C167" s="523"/>
      <c r="D167" s="737"/>
      <c r="E167" s="166"/>
      <c r="F167" s="166"/>
      <c r="G167" s="547" t="str">
        <f t="shared" si="0"/>
        <v/>
      </c>
      <c r="H167" s="548" t="str">
        <f t="shared" si="1"/>
        <v/>
      </c>
    </row>
    <row r="168" spans="1:8">
      <c r="A168" s="522"/>
      <c r="B168" s="523"/>
      <c r="C168" s="523"/>
      <c r="D168" s="737"/>
      <c r="E168" s="166"/>
      <c r="F168" s="166"/>
      <c r="G168" s="547" t="str">
        <f t="shared" si="0"/>
        <v/>
      </c>
      <c r="H168" s="548" t="str">
        <f t="shared" si="1"/>
        <v/>
      </c>
    </row>
    <row r="169" spans="1:8">
      <c r="A169" s="522"/>
      <c r="B169" s="523"/>
      <c r="C169" s="523"/>
      <c r="D169" s="737"/>
      <c r="E169" s="166"/>
      <c r="F169" s="166"/>
      <c r="G169" s="547" t="str">
        <f t="shared" si="0"/>
        <v/>
      </c>
      <c r="H169" s="548" t="str">
        <f t="shared" si="1"/>
        <v/>
      </c>
    </row>
    <row r="170" spans="1:8">
      <c r="A170" s="522"/>
      <c r="B170" s="523"/>
      <c r="C170" s="523"/>
      <c r="D170" s="737"/>
      <c r="E170" s="166"/>
      <c r="F170" s="166"/>
      <c r="G170" s="547" t="str">
        <f t="shared" si="0"/>
        <v/>
      </c>
      <c r="H170" s="548" t="str">
        <f t="shared" si="1"/>
        <v/>
      </c>
    </row>
    <row r="171" spans="1:8">
      <c r="A171" s="522"/>
      <c r="B171" s="523"/>
      <c r="C171" s="523"/>
      <c r="D171" s="737"/>
      <c r="E171" s="166"/>
      <c r="F171" s="166"/>
      <c r="G171" s="547" t="str">
        <f t="shared" si="0"/>
        <v/>
      </c>
      <c r="H171" s="548" t="str">
        <f t="shared" si="1"/>
        <v/>
      </c>
    </row>
    <row r="172" spans="1:8">
      <c r="A172" s="522"/>
      <c r="B172" s="523"/>
      <c r="C172" s="523"/>
      <c r="D172" s="737"/>
      <c r="E172" s="166"/>
      <c r="F172" s="166"/>
      <c r="G172" s="547" t="str">
        <f t="shared" si="0"/>
        <v/>
      </c>
      <c r="H172" s="548" t="str">
        <f t="shared" si="1"/>
        <v/>
      </c>
    </row>
    <row r="173" spans="1:8">
      <c r="A173" s="522"/>
      <c r="B173" s="523"/>
      <c r="C173" s="523"/>
      <c r="D173" s="737"/>
      <c r="E173" s="166"/>
      <c r="F173" s="166"/>
      <c r="G173" s="547" t="str">
        <f t="shared" si="0"/>
        <v/>
      </c>
      <c r="H173" s="548" t="str">
        <f t="shared" si="1"/>
        <v/>
      </c>
    </row>
    <row r="174" spans="1:8">
      <c r="A174" s="522"/>
      <c r="B174" s="523"/>
      <c r="C174" s="523"/>
      <c r="D174" s="737"/>
      <c r="E174" s="166"/>
      <c r="F174" s="166"/>
      <c r="G174" s="547" t="str">
        <f t="shared" si="0"/>
        <v/>
      </c>
      <c r="H174" s="548" t="str">
        <f t="shared" si="1"/>
        <v/>
      </c>
    </row>
    <row r="175" spans="1:8">
      <c r="A175" s="522"/>
      <c r="B175" s="523"/>
      <c r="C175" s="523"/>
      <c r="D175" s="737"/>
      <c r="E175" s="166"/>
      <c r="F175" s="166"/>
      <c r="G175" s="547" t="str">
        <f t="shared" si="0"/>
        <v/>
      </c>
      <c r="H175" s="548" t="str">
        <f t="shared" si="1"/>
        <v/>
      </c>
    </row>
    <row r="176" spans="1:8">
      <c r="A176" s="522"/>
      <c r="B176" s="523"/>
      <c r="C176" s="523"/>
      <c r="D176" s="737"/>
      <c r="E176" s="166"/>
      <c r="F176" s="166"/>
      <c r="G176" s="547" t="str">
        <f t="shared" si="0"/>
        <v/>
      </c>
      <c r="H176" s="548" t="str">
        <f t="shared" si="1"/>
        <v/>
      </c>
    </row>
    <row r="177" spans="1:8">
      <c r="A177" s="522"/>
      <c r="B177" s="523"/>
      <c r="C177" s="523"/>
      <c r="D177" s="737"/>
      <c r="E177" s="166"/>
      <c r="F177" s="166"/>
      <c r="G177" s="547" t="str">
        <f t="shared" si="0"/>
        <v/>
      </c>
      <c r="H177" s="548" t="str">
        <f t="shared" si="1"/>
        <v/>
      </c>
    </row>
    <row r="178" spans="1:8">
      <c r="A178" s="522"/>
      <c r="B178" s="523"/>
      <c r="C178" s="523"/>
      <c r="D178" s="737"/>
      <c r="E178" s="166"/>
      <c r="F178" s="166"/>
      <c r="G178" s="547" t="str">
        <f t="shared" si="0"/>
        <v/>
      </c>
      <c r="H178" s="548" t="str">
        <f t="shared" si="1"/>
        <v/>
      </c>
    </row>
    <row r="179" spans="1:8">
      <c r="A179" s="522"/>
      <c r="B179" s="523"/>
      <c r="C179" s="523"/>
      <c r="D179" s="737"/>
      <c r="E179" s="166"/>
      <c r="F179" s="166"/>
      <c r="G179" s="547" t="str">
        <f t="shared" si="0"/>
        <v/>
      </c>
      <c r="H179" s="548" t="str">
        <f t="shared" si="1"/>
        <v/>
      </c>
    </row>
    <row r="180" spans="1:8">
      <c r="A180" s="522"/>
      <c r="B180" s="523"/>
      <c r="C180" s="523"/>
      <c r="D180" s="737"/>
      <c r="E180" s="166"/>
      <c r="F180" s="166"/>
      <c r="G180" s="547" t="str">
        <f t="shared" si="0"/>
        <v/>
      </c>
      <c r="H180" s="548" t="str">
        <f t="shared" si="1"/>
        <v/>
      </c>
    </row>
    <row r="181" spans="1:8" ht="13.5" thickBot="1">
      <c r="A181" s="522"/>
      <c r="B181" s="523"/>
      <c r="C181" s="523"/>
      <c r="D181" s="522" t="s">
        <v>583</v>
      </c>
      <c r="E181" s="165">
        <f>IF(SUM(E161:E180)='Component Unit Template'!K43,SUM(E161:E180),"ERROR")</f>
        <v>0</v>
      </c>
      <c r="F181" s="165">
        <f>IF(SUM(F161:F180)=H144,SUM(F161:F180),"ERROR")</f>
        <v>0</v>
      </c>
    </row>
    <row r="182" spans="1:8" ht="13.5" thickTop="1">
      <c r="A182" s="522"/>
      <c r="B182" s="523"/>
      <c r="C182" s="523"/>
      <c r="D182" s="546" t="s">
        <v>47</v>
      </c>
      <c r="E182" s="237">
        <f>(SUM(E161:E180))-(SUM('Component Unit Template'!K43))</f>
        <v>0</v>
      </c>
      <c r="F182" s="237">
        <f>SUM(F161:F180)-H144</f>
        <v>0</v>
      </c>
      <c r="H182" s="68"/>
    </row>
    <row r="183" spans="1:8" s="602" customFormat="1" ht="24.95" customHeight="1">
      <c r="A183" s="599" t="s">
        <v>582</v>
      </c>
      <c r="B183" s="604" t="s">
        <v>1609</v>
      </c>
      <c r="C183" s="604"/>
      <c r="D183" s="604"/>
      <c r="E183" s="598"/>
      <c r="F183" s="599"/>
      <c r="G183" s="604"/>
      <c r="H183" s="603"/>
    </row>
    <row r="184" spans="1:8" ht="27.95" customHeight="1">
      <c r="A184" s="522"/>
      <c r="B184" s="523"/>
      <c r="C184" s="523"/>
      <c r="D184" s="77"/>
      <c r="E184" s="1193" t="s">
        <v>1095</v>
      </c>
      <c r="F184" s="1194"/>
      <c r="G184" s="565"/>
    </row>
    <row r="185" spans="1:8" ht="45" customHeight="1">
      <c r="A185" s="522"/>
      <c r="B185" s="523"/>
      <c r="C185" s="523"/>
      <c r="D185" s="592" t="s">
        <v>1236</v>
      </c>
      <c r="E185" s="190" t="s">
        <v>1096</v>
      </c>
      <c r="F185" s="190" t="s">
        <v>1097</v>
      </c>
      <c r="G185" s="590" t="s">
        <v>1209</v>
      </c>
      <c r="H185" s="190" t="s">
        <v>1061</v>
      </c>
    </row>
    <row r="186" spans="1:8">
      <c r="A186" s="522"/>
      <c r="B186" s="523"/>
      <c r="C186" s="523"/>
      <c r="D186" s="737"/>
      <c r="E186" s="166"/>
      <c r="F186" s="166"/>
      <c r="G186" s="547" t="str">
        <f>IF(OR(E186&lt;&gt;"",F186&lt;&gt;""),"Answer Required","")</f>
        <v/>
      </c>
      <c r="H186" s="548" t="str">
        <f>IF(G186="","",IF(G186="No","Answer Required","N/A"))</f>
        <v/>
      </c>
    </row>
    <row r="187" spans="1:8">
      <c r="A187" s="522"/>
      <c r="B187" s="523"/>
      <c r="C187" s="523"/>
      <c r="D187" s="737"/>
      <c r="E187" s="166"/>
      <c r="F187" s="166"/>
      <c r="G187" s="547" t="str">
        <f t="shared" ref="G187:G204" si="2">IF(OR(E187&lt;&gt;"",F187&lt;&gt;""),"Answer Required","")</f>
        <v/>
      </c>
      <c r="H187" s="548" t="str">
        <f t="shared" ref="H187:H205" si="3">IF(G187="","",IF(G187="No","Answer Required","N/A"))</f>
        <v/>
      </c>
    </row>
    <row r="188" spans="1:8">
      <c r="A188" s="522"/>
      <c r="B188" s="523"/>
      <c r="C188" s="523"/>
      <c r="D188" s="737"/>
      <c r="E188" s="166"/>
      <c r="F188" s="166"/>
      <c r="G188" s="547" t="str">
        <f t="shared" si="2"/>
        <v/>
      </c>
      <c r="H188" s="548" t="str">
        <f t="shared" si="3"/>
        <v/>
      </c>
    </row>
    <row r="189" spans="1:8">
      <c r="A189" s="522"/>
      <c r="B189" s="523"/>
      <c r="C189" s="523"/>
      <c r="D189" s="737"/>
      <c r="E189" s="166"/>
      <c r="F189" s="166"/>
      <c r="G189" s="547" t="str">
        <f t="shared" si="2"/>
        <v/>
      </c>
      <c r="H189" s="548" t="str">
        <f t="shared" si="3"/>
        <v/>
      </c>
    </row>
    <row r="190" spans="1:8">
      <c r="A190" s="522"/>
      <c r="B190" s="523"/>
      <c r="C190" s="523"/>
      <c r="D190" s="737"/>
      <c r="E190" s="166"/>
      <c r="F190" s="166"/>
      <c r="G190" s="547" t="str">
        <f t="shared" si="2"/>
        <v/>
      </c>
      <c r="H190" s="548" t="str">
        <f t="shared" si="3"/>
        <v/>
      </c>
    </row>
    <row r="191" spans="1:8">
      <c r="A191" s="522"/>
      <c r="B191" s="523"/>
      <c r="C191" s="523"/>
      <c r="D191" s="737"/>
      <c r="E191" s="166"/>
      <c r="F191" s="166"/>
      <c r="G191" s="547" t="str">
        <f t="shared" si="2"/>
        <v/>
      </c>
      <c r="H191" s="548" t="str">
        <f t="shared" si="3"/>
        <v/>
      </c>
    </row>
    <row r="192" spans="1:8">
      <c r="A192" s="522"/>
      <c r="B192" s="523"/>
      <c r="C192" s="523"/>
      <c r="D192" s="737"/>
      <c r="E192" s="166"/>
      <c r="F192" s="166"/>
      <c r="G192" s="547" t="str">
        <f t="shared" si="2"/>
        <v/>
      </c>
      <c r="H192" s="548" t="str">
        <f t="shared" si="3"/>
        <v/>
      </c>
    </row>
    <row r="193" spans="1:8">
      <c r="A193" s="522"/>
      <c r="B193" s="523"/>
      <c r="C193" s="523"/>
      <c r="D193" s="737"/>
      <c r="E193" s="166"/>
      <c r="F193" s="166"/>
      <c r="G193" s="547" t="str">
        <f t="shared" si="2"/>
        <v/>
      </c>
      <c r="H193" s="548" t="str">
        <f t="shared" si="3"/>
        <v/>
      </c>
    </row>
    <row r="194" spans="1:8">
      <c r="A194" s="522"/>
      <c r="B194" s="523"/>
      <c r="C194" s="523"/>
      <c r="D194" s="737"/>
      <c r="E194" s="166"/>
      <c r="F194" s="166"/>
      <c r="G194" s="547" t="str">
        <f t="shared" si="2"/>
        <v/>
      </c>
      <c r="H194" s="548" t="str">
        <f t="shared" si="3"/>
        <v/>
      </c>
    </row>
    <row r="195" spans="1:8">
      <c r="A195" s="522"/>
      <c r="B195" s="523"/>
      <c r="C195" s="523"/>
      <c r="D195" s="737"/>
      <c r="E195" s="166"/>
      <c r="F195" s="166"/>
      <c r="G195" s="547" t="str">
        <f t="shared" si="2"/>
        <v/>
      </c>
      <c r="H195" s="548" t="str">
        <f t="shared" si="3"/>
        <v/>
      </c>
    </row>
    <row r="196" spans="1:8">
      <c r="A196" s="522"/>
      <c r="B196" s="523"/>
      <c r="C196" s="523"/>
      <c r="D196" s="737"/>
      <c r="E196" s="166"/>
      <c r="F196" s="166"/>
      <c r="G196" s="547" t="str">
        <f t="shared" si="2"/>
        <v/>
      </c>
      <c r="H196" s="548" t="str">
        <f t="shared" si="3"/>
        <v/>
      </c>
    </row>
    <row r="197" spans="1:8">
      <c r="A197" s="522"/>
      <c r="B197" s="523"/>
      <c r="C197" s="523"/>
      <c r="D197" s="737"/>
      <c r="E197" s="166"/>
      <c r="F197" s="166"/>
      <c r="G197" s="547" t="str">
        <f t="shared" si="2"/>
        <v/>
      </c>
      <c r="H197" s="548" t="str">
        <f t="shared" si="3"/>
        <v/>
      </c>
    </row>
    <row r="198" spans="1:8">
      <c r="A198" s="522"/>
      <c r="B198" s="523"/>
      <c r="C198" s="523"/>
      <c r="D198" s="737"/>
      <c r="E198" s="166"/>
      <c r="F198" s="166"/>
      <c r="G198" s="547" t="str">
        <f t="shared" si="2"/>
        <v/>
      </c>
      <c r="H198" s="548" t="str">
        <f t="shared" si="3"/>
        <v/>
      </c>
    </row>
    <row r="199" spans="1:8">
      <c r="A199" s="522"/>
      <c r="B199" s="523"/>
      <c r="C199" s="523"/>
      <c r="D199" s="737"/>
      <c r="E199" s="166"/>
      <c r="F199" s="166"/>
      <c r="G199" s="547" t="str">
        <f t="shared" si="2"/>
        <v/>
      </c>
      <c r="H199" s="548" t="str">
        <f t="shared" si="3"/>
        <v/>
      </c>
    </row>
    <row r="200" spans="1:8">
      <c r="A200" s="522"/>
      <c r="B200" s="523"/>
      <c r="C200" s="523"/>
      <c r="D200" s="737"/>
      <c r="E200" s="166"/>
      <c r="F200" s="166"/>
      <c r="G200" s="547" t="str">
        <f t="shared" si="2"/>
        <v/>
      </c>
      <c r="H200" s="548" t="str">
        <f t="shared" si="3"/>
        <v/>
      </c>
    </row>
    <row r="201" spans="1:8">
      <c r="A201" s="522"/>
      <c r="B201" s="523"/>
      <c r="C201" s="523"/>
      <c r="D201" s="737"/>
      <c r="E201" s="166"/>
      <c r="F201" s="166"/>
      <c r="G201" s="547" t="str">
        <f t="shared" si="2"/>
        <v/>
      </c>
      <c r="H201" s="548" t="str">
        <f t="shared" si="3"/>
        <v/>
      </c>
    </row>
    <row r="202" spans="1:8">
      <c r="A202" s="522"/>
      <c r="B202" s="523"/>
      <c r="C202" s="523"/>
      <c r="D202" s="737"/>
      <c r="E202" s="166"/>
      <c r="F202" s="166"/>
      <c r="G202" s="547" t="str">
        <f t="shared" si="2"/>
        <v/>
      </c>
      <c r="H202" s="548" t="str">
        <f t="shared" si="3"/>
        <v/>
      </c>
    </row>
    <row r="203" spans="1:8">
      <c r="A203" s="522"/>
      <c r="B203" s="523"/>
      <c r="C203" s="523"/>
      <c r="D203" s="737"/>
      <c r="E203" s="166"/>
      <c r="F203" s="166"/>
      <c r="G203" s="547" t="str">
        <f t="shared" si="2"/>
        <v/>
      </c>
      <c r="H203" s="548" t="str">
        <f t="shared" si="3"/>
        <v/>
      </c>
    </row>
    <row r="204" spans="1:8">
      <c r="A204" s="522"/>
      <c r="B204" s="523"/>
      <c r="C204" s="523"/>
      <c r="D204" s="737"/>
      <c r="E204" s="166"/>
      <c r="F204" s="166"/>
      <c r="G204" s="547" t="str">
        <f t="shared" si="2"/>
        <v/>
      </c>
      <c r="H204" s="548" t="str">
        <f t="shared" si="3"/>
        <v/>
      </c>
    </row>
    <row r="205" spans="1:8">
      <c r="A205" s="522"/>
      <c r="B205" s="523"/>
      <c r="C205" s="523"/>
      <c r="D205" s="737"/>
      <c r="E205" s="166"/>
      <c r="F205" s="166"/>
      <c r="G205" s="547" t="str">
        <f>IF(OR(E205&lt;&gt;"",F205&lt;&gt;""),"Answer Required","")</f>
        <v/>
      </c>
      <c r="H205" s="548" t="str">
        <f t="shared" si="3"/>
        <v/>
      </c>
    </row>
    <row r="206" spans="1:8" ht="13.5" thickBot="1">
      <c r="A206" s="522"/>
      <c r="B206" s="523"/>
      <c r="C206" s="523"/>
      <c r="D206" s="522" t="s">
        <v>583</v>
      </c>
      <c r="E206" s="165">
        <f>IF(SUM(E186:E205)='Component Unit Template'!K91,SUM(E186:E205),"ERROR")</f>
        <v>0</v>
      </c>
      <c r="F206" s="165">
        <f>IF(SUM(F186:F205)=H152,SUM(F186:F205),"ERROR")</f>
        <v>0</v>
      </c>
    </row>
    <row r="207" spans="1:8" ht="13.5" thickTop="1">
      <c r="A207" s="522"/>
      <c r="B207" s="523"/>
      <c r="C207" s="523"/>
      <c r="D207" s="546" t="s">
        <v>47</v>
      </c>
      <c r="E207" s="237">
        <f>(SUM(E186:E205))-(SUM('Component Unit Template'!K91))</f>
        <v>0</v>
      </c>
      <c r="F207" s="237">
        <f>SUM(F186:F205)-H152</f>
        <v>0</v>
      </c>
      <c r="H207" s="68"/>
    </row>
    <row r="208" spans="1:8" s="602" customFormat="1" ht="24.95" hidden="1" customHeight="1">
      <c r="A208" s="599" t="s">
        <v>584</v>
      </c>
      <c r="B208" s="604" t="s">
        <v>294</v>
      </c>
      <c r="C208" s="604"/>
      <c r="D208" s="604"/>
      <c r="E208" s="598"/>
      <c r="F208" s="599"/>
      <c r="G208" s="604"/>
      <c r="H208" s="603"/>
    </row>
    <row r="209" spans="1:8" ht="45" hidden="1" customHeight="1">
      <c r="A209" s="522"/>
      <c r="B209" s="523"/>
      <c r="C209" s="523"/>
      <c r="D209" s="523"/>
      <c r="E209" s="591" t="s">
        <v>585</v>
      </c>
      <c r="F209" s="190" t="s">
        <v>205</v>
      </c>
      <c r="G209" s="590" t="s">
        <v>1062</v>
      </c>
      <c r="H209" s="190" t="s">
        <v>1061</v>
      </c>
    </row>
    <row r="210" spans="1:8" hidden="1">
      <c r="A210" s="522"/>
      <c r="B210" s="523"/>
      <c r="C210" s="523"/>
      <c r="D210" s="523"/>
      <c r="E210" s="737"/>
      <c r="F210" s="166"/>
      <c r="G210" s="547" t="str">
        <f>IF(F210&lt;&gt;"","Answer Required","")</f>
        <v/>
      </c>
      <c r="H210" s="548" t="str">
        <f>IF(G210="","",IF(G210="No","Answer Required","N/A"))</f>
        <v/>
      </c>
    </row>
    <row r="211" spans="1:8" hidden="1">
      <c r="A211" s="522"/>
      <c r="B211" s="523"/>
      <c r="C211" s="523"/>
      <c r="D211" s="523"/>
      <c r="E211" s="737"/>
      <c r="F211" s="166"/>
      <c r="G211" s="547" t="str">
        <f t="shared" ref="G211:G229" si="4">IF(F211&lt;&gt;"","Answer Required","")</f>
        <v/>
      </c>
      <c r="H211" s="548" t="str">
        <f t="shared" ref="H211:H229" si="5">IF(G211="","",IF(G211="No","Answer Required","N/A"))</f>
        <v/>
      </c>
    </row>
    <row r="212" spans="1:8" hidden="1">
      <c r="A212" s="522"/>
      <c r="B212" s="523"/>
      <c r="C212" s="523"/>
      <c r="D212" s="523"/>
      <c r="E212" s="737"/>
      <c r="F212" s="166"/>
      <c r="G212" s="547" t="str">
        <f t="shared" si="4"/>
        <v/>
      </c>
      <c r="H212" s="548" t="str">
        <f t="shared" si="5"/>
        <v/>
      </c>
    </row>
    <row r="213" spans="1:8" hidden="1">
      <c r="A213" s="522"/>
      <c r="B213" s="523"/>
      <c r="C213" s="523"/>
      <c r="D213" s="523"/>
      <c r="E213" s="737"/>
      <c r="F213" s="166"/>
      <c r="G213" s="547" t="str">
        <f t="shared" si="4"/>
        <v/>
      </c>
      <c r="H213" s="548" t="str">
        <f t="shared" si="5"/>
        <v/>
      </c>
    </row>
    <row r="214" spans="1:8" hidden="1">
      <c r="A214" s="522"/>
      <c r="B214" s="523"/>
      <c r="C214" s="523"/>
      <c r="D214" s="523"/>
      <c r="E214" s="737"/>
      <c r="F214" s="166"/>
      <c r="G214" s="547" t="str">
        <f t="shared" si="4"/>
        <v/>
      </c>
      <c r="H214" s="548" t="str">
        <f t="shared" si="5"/>
        <v/>
      </c>
    </row>
    <row r="215" spans="1:8" hidden="1">
      <c r="A215" s="522"/>
      <c r="B215" s="523"/>
      <c r="C215" s="523"/>
      <c r="D215" s="523"/>
      <c r="E215" s="737"/>
      <c r="F215" s="166"/>
      <c r="G215" s="547" t="str">
        <f t="shared" si="4"/>
        <v/>
      </c>
      <c r="H215" s="548" t="str">
        <f t="shared" si="5"/>
        <v/>
      </c>
    </row>
    <row r="216" spans="1:8" hidden="1">
      <c r="A216" s="522"/>
      <c r="B216" s="523"/>
      <c r="C216" s="523"/>
      <c r="D216" s="523"/>
      <c r="E216" s="737"/>
      <c r="F216" s="166"/>
      <c r="G216" s="547" t="str">
        <f t="shared" si="4"/>
        <v/>
      </c>
      <c r="H216" s="548" t="str">
        <f t="shared" si="5"/>
        <v/>
      </c>
    </row>
    <row r="217" spans="1:8" hidden="1">
      <c r="A217" s="522"/>
      <c r="B217" s="523"/>
      <c r="C217" s="523"/>
      <c r="D217" s="523"/>
      <c r="E217" s="737"/>
      <c r="F217" s="166"/>
      <c r="G217" s="547" t="str">
        <f t="shared" si="4"/>
        <v/>
      </c>
      <c r="H217" s="548" t="str">
        <f t="shared" si="5"/>
        <v/>
      </c>
    </row>
    <row r="218" spans="1:8" hidden="1">
      <c r="A218" s="522"/>
      <c r="B218" s="523"/>
      <c r="C218" s="523"/>
      <c r="D218" s="523"/>
      <c r="E218" s="737"/>
      <c r="F218" s="166"/>
      <c r="G218" s="547" t="str">
        <f t="shared" si="4"/>
        <v/>
      </c>
      <c r="H218" s="548" t="str">
        <f t="shared" si="5"/>
        <v/>
      </c>
    </row>
    <row r="219" spans="1:8" hidden="1">
      <c r="A219" s="522"/>
      <c r="B219" s="523"/>
      <c r="C219" s="523"/>
      <c r="D219" s="523"/>
      <c r="E219" s="737"/>
      <c r="F219" s="166"/>
      <c r="G219" s="547" t="str">
        <f t="shared" si="4"/>
        <v/>
      </c>
      <c r="H219" s="548" t="str">
        <f t="shared" si="5"/>
        <v/>
      </c>
    </row>
    <row r="220" spans="1:8" hidden="1">
      <c r="A220" s="522"/>
      <c r="B220" s="523"/>
      <c r="C220" s="523"/>
      <c r="D220" s="523"/>
      <c r="E220" s="737"/>
      <c r="F220" s="166"/>
      <c r="G220" s="547" t="str">
        <f t="shared" si="4"/>
        <v/>
      </c>
      <c r="H220" s="548" t="str">
        <f t="shared" si="5"/>
        <v/>
      </c>
    </row>
    <row r="221" spans="1:8" hidden="1">
      <c r="A221" s="522"/>
      <c r="B221" s="523"/>
      <c r="C221" s="523"/>
      <c r="D221" s="523"/>
      <c r="E221" s="737"/>
      <c r="F221" s="166"/>
      <c r="G221" s="547" t="str">
        <f t="shared" si="4"/>
        <v/>
      </c>
      <c r="H221" s="548" t="str">
        <f t="shared" si="5"/>
        <v/>
      </c>
    </row>
    <row r="222" spans="1:8" hidden="1">
      <c r="A222" s="522"/>
      <c r="B222" s="523"/>
      <c r="C222" s="523"/>
      <c r="D222" s="523"/>
      <c r="E222" s="737"/>
      <c r="F222" s="166"/>
      <c r="G222" s="547" t="str">
        <f t="shared" si="4"/>
        <v/>
      </c>
      <c r="H222" s="548" t="str">
        <f t="shared" si="5"/>
        <v/>
      </c>
    </row>
    <row r="223" spans="1:8" hidden="1">
      <c r="A223" s="522"/>
      <c r="B223" s="523"/>
      <c r="C223" s="523"/>
      <c r="D223" s="523"/>
      <c r="E223" s="737"/>
      <c r="F223" s="166"/>
      <c r="G223" s="547" t="str">
        <f t="shared" si="4"/>
        <v/>
      </c>
      <c r="H223" s="548" t="str">
        <f t="shared" si="5"/>
        <v/>
      </c>
    </row>
    <row r="224" spans="1:8" hidden="1">
      <c r="A224" s="522"/>
      <c r="B224" s="523"/>
      <c r="C224" s="523"/>
      <c r="D224" s="523"/>
      <c r="E224" s="737"/>
      <c r="F224" s="166"/>
      <c r="G224" s="547" t="str">
        <f t="shared" si="4"/>
        <v/>
      </c>
      <c r="H224" s="548" t="str">
        <f t="shared" si="5"/>
        <v/>
      </c>
    </row>
    <row r="225" spans="1:8" hidden="1">
      <c r="A225" s="522"/>
      <c r="B225" s="523"/>
      <c r="C225" s="523"/>
      <c r="D225" s="523"/>
      <c r="E225" s="737"/>
      <c r="F225" s="166"/>
      <c r="G225" s="547" t="str">
        <f t="shared" si="4"/>
        <v/>
      </c>
      <c r="H225" s="548" t="str">
        <f t="shared" si="5"/>
        <v/>
      </c>
    </row>
    <row r="226" spans="1:8" hidden="1">
      <c r="A226" s="522"/>
      <c r="B226" s="523"/>
      <c r="C226" s="523"/>
      <c r="D226" s="523"/>
      <c r="E226" s="737"/>
      <c r="F226" s="166"/>
      <c r="G226" s="547" t="str">
        <f t="shared" si="4"/>
        <v/>
      </c>
      <c r="H226" s="548" t="str">
        <f t="shared" si="5"/>
        <v/>
      </c>
    </row>
    <row r="227" spans="1:8" hidden="1">
      <c r="A227" s="522"/>
      <c r="B227" s="523"/>
      <c r="C227" s="523"/>
      <c r="D227" s="523"/>
      <c r="E227" s="737"/>
      <c r="F227" s="166"/>
      <c r="G227" s="547" t="str">
        <f t="shared" si="4"/>
        <v/>
      </c>
      <c r="H227" s="548" t="str">
        <f t="shared" si="5"/>
        <v/>
      </c>
    </row>
    <row r="228" spans="1:8" hidden="1">
      <c r="A228" s="522"/>
      <c r="B228" s="523"/>
      <c r="C228" s="523"/>
      <c r="D228" s="523"/>
      <c r="E228" s="737"/>
      <c r="F228" s="166"/>
      <c r="G228" s="547" t="str">
        <f t="shared" si="4"/>
        <v/>
      </c>
      <c r="H228" s="548" t="str">
        <f t="shared" si="5"/>
        <v/>
      </c>
    </row>
    <row r="229" spans="1:8" hidden="1">
      <c r="A229" s="522"/>
      <c r="B229" s="523"/>
      <c r="C229" s="523"/>
      <c r="D229" s="523"/>
      <c r="E229" s="737"/>
      <c r="F229" s="166"/>
      <c r="G229" s="547" t="str">
        <f t="shared" si="4"/>
        <v/>
      </c>
      <c r="H229" s="548" t="str">
        <f t="shared" si="5"/>
        <v/>
      </c>
    </row>
    <row r="230" spans="1:8" ht="13.5" hidden="1" thickBot="1">
      <c r="A230" s="522"/>
      <c r="B230" s="523"/>
      <c r="C230" s="523"/>
      <c r="D230" s="523"/>
      <c r="E230" s="522" t="s">
        <v>583</v>
      </c>
      <c r="F230" s="165">
        <f>IF(SUM(F210:F229)='Component Unit Template'!K44,SUM(F210:F229),"ERROR")</f>
        <v>0</v>
      </c>
    </row>
    <row r="231" spans="1:8">
      <c r="A231" s="522"/>
      <c r="B231" s="523"/>
      <c r="C231" s="523"/>
      <c r="D231" s="523"/>
      <c r="E231" s="77"/>
      <c r="F231" s="237">
        <f>(SUM(F210:F229))-'Component Unit Template'!K44</f>
        <v>0</v>
      </c>
      <c r="G231" s="546" t="s">
        <v>47</v>
      </c>
      <c r="H231" s="68"/>
    </row>
    <row r="232" spans="1:8">
      <c r="A232" s="522" t="s">
        <v>584</v>
      </c>
      <c r="B232" s="523" t="s">
        <v>1611</v>
      </c>
      <c r="C232" s="523"/>
      <c r="D232" s="523"/>
      <c r="E232" s="77"/>
      <c r="F232" s="522"/>
      <c r="G232" s="523"/>
      <c r="H232" s="68"/>
    </row>
    <row r="233" spans="1:8" ht="45" customHeight="1">
      <c r="A233" s="522"/>
      <c r="B233" s="523"/>
      <c r="C233" s="523"/>
      <c r="D233" s="523"/>
      <c r="E233" s="591" t="s">
        <v>585</v>
      </c>
      <c r="F233" s="190" t="s">
        <v>205</v>
      </c>
      <c r="G233" s="590" t="s">
        <v>1062</v>
      </c>
      <c r="H233" s="190" t="s">
        <v>1061</v>
      </c>
    </row>
    <row r="234" spans="1:8">
      <c r="A234" s="522"/>
      <c r="B234" s="523"/>
      <c r="C234" s="523"/>
      <c r="D234" s="523"/>
      <c r="E234" s="737"/>
      <c r="F234" s="166"/>
      <c r="G234" s="547" t="str">
        <f>IF(F234&lt;&gt;"","Answer Required","")</f>
        <v/>
      </c>
      <c r="H234" s="548" t="str">
        <f>IF(G234="","",IF(G234="No","Answer Required","N/A"))</f>
        <v/>
      </c>
    </row>
    <row r="235" spans="1:8">
      <c r="A235" s="522"/>
      <c r="B235" s="523"/>
      <c r="C235" s="523"/>
      <c r="D235" s="523"/>
      <c r="E235" s="737"/>
      <c r="F235" s="166"/>
      <c r="G235" s="547" t="str">
        <f t="shared" ref="G235:G253" si="6">IF(F235&lt;&gt;"","Answer Required","")</f>
        <v/>
      </c>
      <c r="H235" s="548" t="str">
        <f t="shared" ref="H235:H253" si="7">IF(G235="","",IF(G235="No","Answer Required","N/A"))</f>
        <v/>
      </c>
    </row>
    <row r="236" spans="1:8">
      <c r="A236" s="522"/>
      <c r="B236" s="523"/>
      <c r="C236" s="523"/>
      <c r="D236" s="523"/>
      <c r="E236" s="737"/>
      <c r="F236" s="166"/>
      <c r="G236" s="547" t="str">
        <f t="shared" si="6"/>
        <v/>
      </c>
      <c r="H236" s="548" t="str">
        <f t="shared" si="7"/>
        <v/>
      </c>
    </row>
    <row r="237" spans="1:8">
      <c r="A237" s="522"/>
      <c r="B237" s="523"/>
      <c r="C237" s="523"/>
      <c r="D237" s="523"/>
      <c r="E237" s="737"/>
      <c r="F237" s="166"/>
      <c r="G237" s="547" t="str">
        <f t="shared" si="6"/>
        <v/>
      </c>
      <c r="H237" s="548" t="str">
        <f t="shared" si="7"/>
        <v/>
      </c>
    </row>
    <row r="238" spans="1:8">
      <c r="A238" s="522"/>
      <c r="B238" s="523"/>
      <c r="C238" s="523"/>
      <c r="D238" s="523"/>
      <c r="E238" s="737"/>
      <c r="F238" s="166"/>
      <c r="G238" s="547" t="str">
        <f t="shared" si="6"/>
        <v/>
      </c>
      <c r="H238" s="548" t="str">
        <f t="shared" si="7"/>
        <v/>
      </c>
    </row>
    <row r="239" spans="1:8">
      <c r="A239" s="522"/>
      <c r="B239" s="523"/>
      <c r="C239" s="523"/>
      <c r="D239" s="523"/>
      <c r="E239" s="737"/>
      <c r="F239" s="166"/>
      <c r="G239" s="547" t="str">
        <f t="shared" si="6"/>
        <v/>
      </c>
      <c r="H239" s="548" t="str">
        <f t="shared" si="7"/>
        <v/>
      </c>
    </row>
    <row r="240" spans="1:8">
      <c r="A240" s="522"/>
      <c r="B240" s="523"/>
      <c r="C240" s="523"/>
      <c r="D240" s="523"/>
      <c r="E240" s="737"/>
      <c r="F240" s="166"/>
      <c r="G240" s="547" t="str">
        <f t="shared" si="6"/>
        <v/>
      </c>
      <c r="H240" s="548" t="str">
        <f t="shared" si="7"/>
        <v/>
      </c>
    </row>
    <row r="241" spans="1:8">
      <c r="A241" s="522"/>
      <c r="B241" s="523"/>
      <c r="C241" s="523"/>
      <c r="D241" s="523"/>
      <c r="E241" s="737"/>
      <c r="F241" s="166"/>
      <c r="G241" s="547" t="str">
        <f t="shared" si="6"/>
        <v/>
      </c>
      <c r="H241" s="548" t="str">
        <f t="shared" si="7"/>
        <v/>
      </c>
    </row>
    <row r="242" spans="1:8">
      <c r="A242" s="522"/>
      <c r="B242" s="523"/>
      <c r="C242" s="523"/>
      <c r="D242" s="523"/>
      <c r="E242" s="737"/>
      <c r="F242" s="166"/>
      <c r="G242" s="547" t="str">
        <f t="shared" si="6"/>
        <v/>
      </c>
      <c r="H242" s="548" t="str">
        <f t="shared" si="7"/>
        <v/>
      </c>
    </row>
    <row r="243" spans="1:8">
      <c r="A243" s="522"/>
      <c r="B243" s="523"/>
      <c r="C243" s="523"/>
      <c r="D243" s="523"/>
      <c r="E243" s="737"/>
      <c r="F243" s="166"/>
      <c r="G243" s="547" t="str">
        <f t="shared" si="6"/>
        <v/>
      </c>
      <c r="H243" s="548" t="str">
        <f t="shared" si="7"/>
        <v/>
      </c>
    </row>
    <row r="244" spans="1:8">
      <c r="A244" s="522"/>
      <c r="B244" s="523"/>
      <c r="C244" s="523"/>
      <c r="D244" s="523"/>
      <c r="E244" s="737"/>
      <c r="F244" s="166"/>
      <c r="G244" s="547" t="str">
        <f t="shared" si="6"/>
        <v/>
      </c>
      <c r="H244" s="548" t="str">
        <f t="shared" si="7"/>
        <v/>
      </c>
    </row>
    <row r="245" spans="1:8">
      <c r="A245" s="522"/>
      <c r="B245" s="523"/>
      <c r="C245" s="523"/>
      <c r="D245" s="523"/>
      <c r="E245" s="737"/>
      <c r="F245" s="166"/>
      <c r="G245" s="547" t="str">
        <f t="shared" si="6"/>
        <v/>
      </c>
      <c r="H245" s="548" t="str">
        <f t="shared" si="7"/>
        <v/>
      </c>
    </row>
    <row r="246" spans="1:8">
      <c r="A246" s="522"/>
      <c r="B246" s="523"/>
      <c r="C246" s="523"/>
      <c r="D246" s="523"/>
      <c r="E246" s="737"/>
      <c r="F246" s="166"/>
      <c r="G246" s="547" t="str">
        <f t="shared" si="6"/>
        <v/>
      </c>
      <c r="H246" s="548" t="str">
        <f t="shared" si="7"/>
        <v/>
      </c>
    </row>
    <row r="247" spans="1:8">
      <c r="A247" s="522"/>
      <c r="B247" s="523"/>
      <c r="C247" s="523"/>
      <c r="D247" s="523"/>
      <c r="E247" s="737"/>
      <c r="F247" s="166"/>
      <c r="G247" s="547" t="str">
        <f t="shared" si="6"/>
        <v/>
      </c>
      <c r="H247" s="548" t="str">
        <f t="shared" si="7"/>
        <v/>
      </c>
    </row>
    <row r="248" spans="1:8">
      <c r="A248" s="522"/>
      <c r="B248" s="523"/>
      <c r="C248" s="523"/>
      <c r="D248" s="523"/>
      <c r="E248" s="737"/>
      <c r="F248" s="166"/>
      <c r="G248" s="547" t="str">
        <f t="shared" si="6"/>
        <v/>
      </c>
      <c r="H248" s="548" t="str">
        <f t="shared" si="7"/>
        <v/>
      </c>
    </row>
    <row r="249" spans="1:8">
      <c r="A249" s="522"/>
      <c r="B249" s="523"/>
      <c r="C249" s="523"/>
      <c r="D249" s="523"/>
      <c r="E249" s="737"/>
      <c r="F249" s="166"/>
      <c r="G249" s="547" t="str">
        <f t="shared" si="6"/>
        <v/>
      </c>
      <c r="H249" s="548" t="str">
        <f t="shared" si="7"/>
        <v/>
      </c>
    </row>
    <row r="250" spans="1:8">
      <c r="A250" s="522"/>
      <c r="B250" s="523"/>
      <c r="C250" s="523"/>
      <c r="D250" s="523"/>
      <c r="E250" s="737"/>
      <c r="F250" s="166"/>
      <c r="G250" s="547" t="str">
        <f t="shared" si="6"/>
        <v/>
      </c>
      <c r="H250" s="548" t="str">
        <f t="shared" si="7"/>
        <v/>
      </c>
    </row>
    <row r="251" spans="1:8">
      <c r="A251" s="522"/>
      <c r="B251" s="523"/>
      <c r="C251" s="523"/>
      <c r="D251" s="523"/>
      <c r="E251" s="737"/>
      <c r="F251" s="166"/>
      <c r="G251" s="547" t="str">
        <f t="shared" si="6"/>
        <v/>
      </c>
      <c r="H251" s="548" t="str">
        <f t="shared" si="7"/>
        <v/>
      </c>
    </row>
    <row r="252" spans="1:8">
      <c r="A252" s="522"/>
      <c r="B252" s="523"/>
      <c r="C252" s="523"/>
      <c r="D252" s="523"/>
      <c r="E252" s="737"/>
      <c r="F252" s="166"/>
      <c r="G252" s="547" t="str">
        <f t="shared" si="6"/>
        <v/>
      </c>
      <c r="H252" s="548" t="str">
        <f t="shared" si="7"/>
        <v/>
      </c>
    </row>
    <row r="253" spans="1:8">
      <c r="A253" s="522"/>
      <c r="B253" s="523"/>
      <c r="C253" s="523"/>
      <c r="D253" s="523"/>
      <c r="E253" s="737"/>
      <c r="F253" s="166"/>
      <c r="G253" s="547" t="str">
        <f t="shared" si="6"/>
        <v/>
      </c>
      <c r="H253" s="548" t="str">
        <f t="shared" si="7"/>
        <v/>
      </c>
    </row>
    <row r="254" spans="1:8" ht="13.5" thickBot="1">
      <c r="A254" s="522"/>
      <c r="B254" s="523"/>
      <c r="C254" s="523"/>
      <c r="D254" s="523"/>
      <c r="E254" s="522" t="s">
        <v>583</v>
      </c>
      <c r="F254" s="165">
        <f>IF(SUM(F234:F253)='Component Unit Template'!K92,SUM(F234:F253),"ERROR")</f>
        <v>0</v>
      </c>
    </row>
    <row r="255" spans="1:8" ht="13.5" thickTop="1">
      <c r="A255" s="522"/>
      <c r="B255" s="523"/>
      <c r="C255" s="523"/>
      <c r="D255" s="523"/>
      <c r="E255" s="77"/>
      <c r="F255" s="237">
        <f>(SUM(F234:F253))-'Component Unit Template'!K92</f>
        <v>0</v>
      </c>
      <c r="G255" s="546" t="s">
        <v>47</v>
      </c>
      <c r="H255" s="68"/>
    </row>
    <row r="256" spans="1:8" hidden="1">
      <c r="A256" s="522" t="s">
        <v>259</v>
      </c>
      <c r="B256" s="523" t="s">
        <v>877</v>
      </c>
      <c r="C256" s="523"/>
      <c r="D256" s="523"/>
      <c r="E256" s="77"/>
      <c r="F256" s="526"/>
      <c r="G256" s="527"/>
      <c r="H256" s="78"/>
    </row>
    <row r="257" spans="1:8" ht="51" hidden="1" customHeight="1">
      <c r="A257" s="526"/>
      <c r="B257" s="527"/>
      <c r="C257" s="527"/>
      <c r="D257" s="527"/>
      <c r="E257" s="592" t="s">
        <v>1235</v>
      </c>
      <c r="F257" s="190" t="s">
        <v>205</v>
      </c>
      <c r="G257" s="590" t="s">
        <v>1062</v>
      </c>
      <c r="H257" s="190" t="s">
        <v>1061</v>
      </c>
    </row>
    <row r="258" spans="1:8" hidden="1">
      <c r="A258" s="526"/>
      <c r="B258" s="527"/>
      <c r="C258" s="527"/>
      <c r="D258" s="527"/>
      <c r="E258" s="737"/>
      <c r="F258" s="166"/>
      <c r="G258" s="547" t="str">
        <f>IF(F258&lt;&gt;"","Answer Required","")</f>
        <v/>
      </c>
      <c r="H258" s="548" t="str">
        <f>IF(G258="","",IF(G258="No","Answer Required","N/A"))</f>
        <v/>
      </c>
    </row>
    <row r="259" spans="1:8" hidden="1">
      <c r="A259" s="526"/>
      <c r="B259" s="527"/>
      <c r="C259" s="527"/>
      <c r="D259" s="527"/>
      <c r="E259" s="737"/>
      <c r="F259" s="166"/>
      <c r="G259" s="547" t="str">
        <f t="shared" ref="G259:G277" si="8">IF(F259&lt;&gt;"","Answer Required","")</f>
        <v/>
      </c>
      <c r="H259" s="548" t="str">
        <f t="shared" ref="H259:H277" si="9">IF(G259="","",IF(G259="No","Answer Required","N/A"))</f>
        <v/>
      </c>
    </row>
    <row r="260" spans="1:8" hidden="1">
      <c r="A260" s="526"/>
      <c r="B260" s="527"/>
      <c r="C260" s="527"/>
      <c r="D260" s="527"/>
      <c r="E260" s="737"/>
      <c r="F260" s="166"/>
      <c r="G260" s="547" t="str">
        <f t="shared" si="8"/>
        <v/>
      </c>
      <c r="H260" s="548" t="str">
        <f t="shared" si="9"/>
        <v/>
      </c>
    </row>
    <row r="261" spans="1:8" hidden="1">
      <c r="A261" s="526"/>
      <c r="B261" s="527"/>
      <c r="C261" s="527"/>
      <c r="D261" s="527"/>
      <c r="E261" s="737"/>
      <c r="F261" s="166"/>
      <c r="G261" s="547" t="str">
        <f t="shared" si="8"/>
        <v/>
      </c>
      <c r="H261" s="548" t="str">
        <f t="shared" si="9"/>
        <v/>
      </c>
    </row>
    <row r="262" spans="1:8" hidden="1">
      <c r="A262" s="526"/>
      <c r="B262" s="527"/>
      <c r="C262" s="527"/>
      <c r="D262" s="527"/>
      <c r="E262" s="737"/>
      <c r="F262" s="166"/>
      <c r="G262" s="547" t="str">
        <f t="shared" si="8"/>
        <v/>
      </c>
      <c r="H262" s="548" t="str">
        <f t="shared" si="9"/>
        <v/>
      </c>
    </row>
    <row r="263" spans="1:8" hidden="1">
      <c r="A263" s="526"/>
      <c r="B263" s="527"/>
      <c r="C263" s="527"/>
      <c r="D263" s="527"/>
      <c r="E263" s="737"/>
      <c r="F263" s="166"/>
      <c r="G263" s="547" t="str">
        <f t="shared" si="8"/>
        <v/>
      </c>
      <c r="H263" s="548" t="str">
        <f t="shared" si="9"/>
        <v/>
      </c>
    </row>
    <row r="264" spans="1:8" hidden="1">
      <c r="A264" s="526"/>
      <c r="B264" s="527"/>
      <c r="C264" s="527"/>
      <c r="D264" s="527"/>
      <c r="E264" s="737"/>
      <c r="F264" s="166"/>
      <c r="G264" s="547" t="str">
        <f t="shared" si="8"/>
        <v/>
      </c>
      <c r="H264" s="548" t="str">
        <f t="shared" si="9"/>
        <v/>
      </c>
    </row>
    <row r="265" spans="1:8" hidden="1">
      <c r="A265" s="526"/>
      <c r="B265" s="527"/>
      <c r="C265" s="527"/>
      <c r="D265" s="527"/>
      <c r="E265" s="737"/>
      <c r="F265" s="166"/>
      <c r="G265" s="547" t="str">
        <f t="shared" si="8"/>
        <v/>
      </c>
      <c r="H265" s="548" t="str">
        <f t="shared" si="9"/>
        <v/>
      </c>
    </row>
    <row r="266" spans="1:8" hidden="1">
      <c r="A266" s="526"/>
      <c r="B266" s="527"/>
      <c r="C266" s="527"/>
      <c r="D266" s="527"/>
      <c r="E266" s="737"/>
      <c r="F266" s="166"/>
      <c r="G266" s="547" t="str">
        <f t="shared" si="8"/>
        <v/>
      </c>
      <c r="H266" s="548" t="str">
        <f t="shared" si="9"/>
        <v/>
      </c>
    </row>
    <row r="267" spans="1:8" hidden="1">
      <c r="A267" s="526"/>
      <c r="B267" s="527"/>
      <c r="C267" s="527"/>
      <c r="D267" s="527"/>
      <c r="E267" s="737"/>
      <c r="F267" s="166"/>
      <c r="G267" s="547" t="str">
        <f t="shared" si="8"/>
        <v/>
      </c>
      <c r="H267" s="548" t="str">
        <f t="shared" si="9"/>
        <v/>
      </c>
    </row>
    <row r="268" spans="1:8" hidden="1">
      <c r="A268" s="526"/>
      <c r="B268" s="527"/>
      <c r="C268" s="527"/>
      <c r="D268" s="527"/>
      <c r="E268" s="737"/>
      <c r="F268" s="166"/>
      <c r="G268" s="547" t="str">
        <f t="shared" si="8"/>
        <v/>
      </c>
      <c r="H268" s="548" t="str">
        <f t="shared" si="9"/>
        <v/>
      </c>
    </row>
    <row r="269" spans="1:8" hidden="1">
      <c r="A269" s="526"/>
      <c r="B269" s="527"/>
      <c r="C269" s="527"/>
      <c r="D269" s="527"/>
      <c r="E269" s="737"/>
      <c r="F269" s="166"/>
      <c r="G269" s="547" t="str">
        <f t="shared" si="8"/>
        <v/>
      </c>
      <c r="H269" s="548" t="str">
        <f t="shared" si="9"/>
        <v/>
      </c>
    </row>
    <row r="270" spans="1:8" hidden="1">
      <c r="A270" s="526"/>
      <c r="B270" s="527"/>
      <c r="C270" s="527"/>
      <c r="D270" s="527"/>
      <c r="E270" s="737"/>
      <c r="F270" s="166"/>
      <c r="G270" s="547" t="str">
        <f t="shared" si="8"/>
        <v/>
      </c>
      <c r="H270" s="548" t="str">
        <f t="shared" si="9"/>
        <v/>
      </c>
    </row>
    <row r="271" spans="1:8" hidden="1">
      <c r="A271" s="526"/>
      <c r="B271" s="527"/>
      <c r="C271" s="527"/>
      <c r="D271" s="527"/>
      <c r="E271" s="737"/>
      <c r="F271" s="166"/>
      <c r="G271" s="547" t="str">
        <f t="shared" si="8"/>
        <v/>
      </c>
      <c r="H271" s="548" t="str">
        <f t="shared" si="9"/>
        <v/>
      </c>
    </row>
    <row r="272" spans="1:8" hidden="1">
      <c r="A272" s="526"/>
      <c r="B272" s="527"/>
      <c r="C272" s="527"/>
      <c r="D272" s="527"/>
      <c r="E272" s="737"/>
      <c r="F272" s="166"/>
      <c r="G272" s="547" t="str">
        <f t="shared" si="8"/>
        <v/>
      </c>
      <c r="H272" s="548" t="str">
        <f t="shared" si="9"/>
        <v/>
      </c>
    </row>
    <row r="273" spans="1:8" hidden="1">
      <c r="A273" s="526"/>
      <c r="B273" s="527"/>
      <c r="C273" s="527"/>
      <c r="D273" s="527"/>
      <c r="E273" s="737"/>
      <c r="F273" s="166"/>
      <c r="G273" s="547" t="str">
        <f t="shared" si="8"/>
        <v/>
      </c>
      <c r="H273" s="548" t="str">
        <f t="shared" si="9"/>
        <v/>
      </c>
    </row>
    <row r="274" spans="1:8" hidden="1">
      <c r="A274" s="526"/>
      <c r="B274" s="527"/>
      <c r="C274" s="527"/>
      <c r="D274" s="527"/>
      <c r="E274" s="737"/>
      <c r="F274" s="166"/>
      <c r="G274" s="547" t="str">
        <f t="shared" si="8"/>
        <v/>
      </c>
      <c r="H274" s="548" t="str">
        <f t="shared" si="9"/>
        <v/>
      </c>
    </row>
    <row r="275" spans="1:8" hidden="1">
      <c r="A275" s="526"/>
      <c r="B275" s="527"/>
      <c r="C275" s="527"/>
      <c r="D275" s="527"/>
      <c r="E275" s="737"/>
      <c r="F275" s="166"/>
      <c r="G275" s="547" t="str">
        <f t="shared" si="8"/>
        <v/>
      </c>
      <c r="H275" s="548" t="str">
        <f t="shared" si="9"/>
        <v/>
      </c>
    </row>
    <row r="276" spans="1:8" hidden="1">
      <c r="A276" s="526"/>
      <c r="B276" s="527"/>
      <c r="C276" s="527"/>
      <c r="D276" s="527"/>
      <c r="E276" s="737"/>
      <c r="F276" s="166"/>
      <c r="G276" s="547" t="str">
        <f t="shared" si="8"/>
        <v/>
      </c>
      <c r="H276" s="548" t="str">
        <f t="shared" si="9"/>
        <v/>
      </c>
    </row>
    <row r="277" spans="1:8" hidden="1">
      <c r="A277" s="526"/>
      <c r="B277" s="527"/>
      <c r="C277" s="527"/>
      <c r="D277" s="527"/>
      <c r="E277" s="737"/>
      <c r="F277" s="166"/>
      <c r="G277" s="547" t="str">
        <f t="shared" si="8"/>
        <v/>
      </c>
      <c r="H277" s="548" t="str">
        <f t="shared" si="9"/>
        <v/>
      </c>
    </row>
    <row r="278" spans="1:8" ht="13.5" hidden="1" thickBot="1">
      <c r="A278" s="527"/>
      <c r="B278" s="527"/>
      <c r="C278" s="527"/>
      <c r="D278" s="527"/>
      <c r="E278" s="522" t="s">
        <v>583</v>
      </c>
      <c r="F278" s="165">
        <f>IF(SUM(F258:F277)='Component Unit Template'!K45+'Component Unit Template'!K51,SUM(F258:F277),"ERROR")</f>
        <v>0</v>
      </c>
    </row>
    <row r="279" spans="1:8" ht="13.5" hidden="1" thickTop="1">
      <c r="A279" s="19"/>
      <c r="B279" s="19"/>
      <c r="C279" s="23"/>
      <c r="D279" s="21"/>
      <c r="E279" s="79"/>
      <c r="F279" s="134">
        <f>(SUM(F258:F277))-(SUM('Component Unit Template'!K45+'Component Unit Template'!K51))</f>
        <v>0</v>
      </c>
      <c r="G279" s="546" t="s">
        <v>47</v>
      </c>
      <c r="H279" s="19"/>
    </row>
    <row r="280" spans="1:8">
      <c r="A280" s="522" t="s">
        <v>259</v>
      </c>
      <c r="B280" s="523" t="s">
        <v>1612</v>
      </c>
      <c r="C280" s="523"/>
      <c r="D280" s="523"/>
      <c r="E280" s="77"/>
      <c r="F280" s="526"/>
      <c r="G280" s="527"/>
      <c r="H280" s="78"/>
    </row>
    <row r="281" spans="1:8" ht="51">
      <c r="A281" s="526"/>
      <c r="B281" s="527"/>
      <c r="C281" s="527"/>
      <c r="D281" s="527"/>
      <c r="E281" s="592" t="s">
        <v>1234</v>
      </c>
      <c r="F281" s="190" t="s">
        <v>205</v>
      </c>
      <c r="G281" s="590" t="s">
        <v>1062</v>
      </c>
      <c r="H281" s="190" t="s">
        <v>1061</v>
      </c>
    </row>
    <row r="282" spans="1:8">
      <c r="A282" s="526"/>
      <c r="B282" s="527"/>
      <c r="C282" s="527"/>
      <c r="D282" s="527"/>
      <c r="E282" s="737"/>
      <c r="F282" s="166"/>
      <c r="G282" s="547" t="str">
        <f>IF(F282&lt;&gt;"","Answer Required","")</f>
        <v/>
      </c>
      <c r="H282" s="548" t="str">
        <f>IF(G282="","",IF(G282="No","Answer Required","N/A"))</f>
        <v/>
      </c>
    </row>
    <row r="283" spans="1:8">
      <c r="A283" s="526"/>
      <c r="B283" s="527"/>
      <c r="C283" s="527"/>
      <c r="D283" s="527"/>
      <c r="E283" s="737"/>
      <c r="F283" s="166"/>
      <c r="G283" s="547" t="str">
        <f t="shared" ref="G283:G301" si="10">IF(F283&lt;&gt;"","Answer Required","")</f>
        <v/>
      </c>
      <c r="H283" s="548" t="str">
        <f t="shared" ref="H283:H301" si="11">IF(G283="","",IF(G283="No","Answer Required","N/A"))</f>
        <v/>
      </c>
    </row>
    <row r="284" spans="1:8">
      <c r="A284" s="526"/>
      <c r="B284" s="527"/>
      <c r="C284" s="527"/>
      <c r="D284" s="527"/>
      <c r="E284" s="737"/>
      <c r="F284" s="166"/>
      <c r="G284" s="547" t="str">
        <f t="shared" si="10"/>
        <v/>
      </c>
      <c r="H284" s="548" t="str">
        <f t="shared" si="11"/>
        <v/>
      </c>
    </row>
    <row r="285" spans="1:8">
      <c r="A285" s="526"/>
      <c r="B285" s="527"/>
      <c r="C285" s="527"/>
      <c r="D285" s="527"/>
      <c r="E285" s="737"/>
      <c r="F285" s="166"/>
      <c r="G285" s="547" t="str">
        <f t="shared" si="10"/>
        <v/>
      </c>
      <c r="H285" s="548" t="str">
        <f t="shared" si="11"/>
        <v/>
      </c>
    </row>
    <row r="286" spans="1:8">
      <c r="A286" s="526"/>
      <c r="B286" s="527"/>
      <c r="C286" s="527"/>
      <c r="D286" s="527"/>
      <c r="E286" s="737"/>
      <c r="F286" s="166"/>
      <c r="G286" s="547" t="str">
        <f t="shared" si="10"/>
        <v/>
      </c>
      <c r="H286" s="548" t="str">
        <f t="shared" si="11"/>
        <v/>
      </c>
    </row>
    <row r="287" spans="1:8">
      <c r="A287" s="526"/>
      <c r="B287" s="527"/>
      <c r="C287" s="527"/>
      <c r="D287" s="527"/>
      <c r="E287" s="737"/>
      <c r="F287" s="166"/>
      <c r="G287" s="547" t="str">
        <f t="shared" si="10"/>
        <v/>
      </c>
      <c r="H287" s="548" t="str">
        <f t="shared" si="11"/>
        <v/>
      </c>
    </row>
    <row r="288" spans="1:8">
      <c r="A288" s="526"/>
      <c r="B288" s="527"/>
      <c r="C288" s="527"/>
      <c r="D288" s="527"/>
      <c r="E288" s="737"/>
      <c r="F288" s="166"/>
      <c r="G288" s="547" t="str">
        <f t="shared" si="10"/>
        <v/>
      </c>
      <c r="H288" s="548" t="str">
        <f t="shared" si="11"/>
        <v/>
      </c>
    </row>
    <row r="289" spans="1:8">
      <c r="A289" s="526"/>
      <c r="B289" s="527"/>
      <c r="C289" s="527"/>
      <c r="D289" s="527"/>
      <c r="E289" s="737"/>
      <c r="F289" s="166"/>
      <c r="G289" s="547" t="str">
        <f t="shared" si="10"/>
        <v/>
      </c>
      <c r="H289" s="548" t="str">
        <f t="shared" si="11"/>
        <v/>
      </c>
    </row>
    <row r="290" spans="1:8">
      <c r="A290" s="526"/>
      <c r="B290" s="527"/>
      <c r="C290" s="527"/>
      <c r="D290" s="527"/>
      <c r="E290" s="737"/>
      <c r="F290" s="166"/>
      <c r="G290" s="547" t="str">
        <f t="shared" si="10"/>
        <v/>
      </c>
      <c r="H290" s="548" t="str">
        <f t="shared" si="11"/>
        <v/>
      </c>
    </row>
    <row r="291" spans="1:8">
      <c r="A291" s="526"/>
      <c r="B291" s="527"/>
      <c r="C291" s="527"/>
      <c r="D291" s="527"/>
      <c r="E291" s="737"/>
      <c r="F291" s="166"/>
      <c r="G291" s="547" t="str">
        <f t="shared" si="10"/>
        <v/>
      </c>
      <c r="H291" s="548" t="str">
        <f t="shared" si="11"/>
        <v/>
      </c>
    </row>
    <row r="292" spans="1:8">
      <c r="A292" s="526"/>
      <c r="B292" s="527"/>
      <c r="C292" s="527"/>
      <c r="D292" s="527"/>
      <c r="E292" s="737"/>
      <c r="F292" s="166"/>
      <c r="G292" s="547" t="str">
        <f t="shared" si="10"/>
        <v/>
      </c>
      <c r="H292" s="548" t="str">
        <f t="shared" si="11"/>
        <v/>
      </c>
    </row>
    <row r="293" spans="1:8">
      <c r="A293" s="526"/>
      <c r="B293" s="527"/>
      <c r="C293" s="527"/>
      <c r="D293" s="527"/>
      <c r="E293" s="737"/>
      <c r="F293" s="166"/>
      <c r="G293" s="547" t="str">
        <f t="shared" si="10"/>
        <v/>
      </c>
      <c r="H293" s="548" t="str">
        <f t="shared" si="11"/>
        <v/>
      </c>
    </row>
    <row r="294" spans="1:8">
      <c r="A294" s="526"/>
      <c r="B294" s="527"/>
      <c r="C294" s="527"/>
      <c r="D294" s="527"/>
      <c r="E294" s="737"/>
      <c r="F294" s="166"/>
      <c r="G294" s="547" t="str">
        <f t="shared" si="10"/>
        <v/>
      </c>
      <c r="H294" s="548" t="str">
        <f t="shared" si="11"/>
        <v/>
      </c>
    </row>
    <row r="295" spans="1:8">
      <c r="A295" s="526"/>
      <c r="B295" s="527"/>
      <c r="C295" s="527"/>
      <c r="D295" s="527"/>
      <c r="E295" s="737"/>
      <c r="F295" s="166"/>
      <c r="G295" s="547" t="str">
        <f t="shared" si="10"/>
        <v/>
      </c>
      <c r="H295" s="548" t="str">
        <f t="shared" si="11"/>
        <v/>
      </c>
    </row>
    <row r="296" spans="1:8">
      <c r="A296" s="526"/>
      <c r="B296" s="527"/>
      <c r="C296" s="527"/>
      <c r="D296" s="527"/>
      <c r="E296" s="737"/>
      <c r="F296" s="166"/>
      <c r="G296" s="547" t="str">
        <f t="shared" si="10"/>
        <v/>
      </c>
      <c r="H296" s="548" t="str">
        <f t="shared" si="11"/>
        <v/>
      </c>
    </row>
    <row r="297" spans="1:8">
      <c r="A297" s="526"/>
      <c r="B297" s="527"/>
      <c r="C297" s="527"/>
      <c r="D297" s="527"/>
      <c r="E297" s="737"/>
      <c r="F297" s="166"/>
      <c r="G297" s="547" t="str">
        <f t="shared" si="10"/>
        <v/>
      </c>
      <c r="H297" s="548" t="str">
        <f t="shared" si="11"/>
        <v/>
      </c>
    </row>
    <row r="298" spans="1:8">
      <c r="A298" s="526"/>
      <c r="B298" s="527"/>
      <c r="C298" s="527"/>
      <c r="D298" s="527"/>
      <c r="E298" s="737"/>
      <c r="F298" s="166"/>
      <c r="G298" s="547" t="str">
        <f t="shared" si="10"/>
        <v/>
      </c>
      <c r="H298" s="548" t="str">
        <f t="shared" si="11"/>
        <v/>
      </c>
    </row>
    <row r="299" spans="1:8">
      <c r="A299" s="526"/>
      <c r="B299" s="527"/>
      <c r="C299" s="527"/>
      <c r="D299" s="527"/>
      <c r="E299" s="737"/>
      <c r="F299" s="166"/>
      <c r="G299" s="547" t="str">
        <f t="shared" si="10"/>
        <v/>
      </c>
      <c r="H299" s="548" t="str">
        <f t="shared" si="11"/>
        <v/>
      </c>
    </row>
    <row r="300" spans="1:8">
      <c r="A300" s="526"/>
      <c r="B300" s="527"/>
      <c r="C300" s="527"/>
      <c r="D300" s="527"/>
      <c r="E300" s="737"/>
      <c r="F300" s="166"/>
      <c r="G300" s="547" t="str">
        <f t="shared" si="10"/>
        <v/>
      </c>
      <c r="H300" s="548" t="str">
        <f t="shared" si="11"/>
        <v/>
      </c>
    </row>
    <row r="301" spans="1:8">
      <c r="A301" s="526"/>
      <c r="B301" s="527"/>
      <c r="C301" s="527"/>
      <c r="D301" s="527"/>
      <c r="E301" s="737"/>
      <c r="F301" s="166"/>
      <c r="G301" s="547" t="str">
        <f t="shared" si="10"/>
        <v/>
      </c>
      <c r="H301" s="548" t="str">
        <f t="shared" si="11"/>
        <v/>
      </c>
    </row>
    <row r="302" spans="1:8" ht="13.5" thickBot="1">
      <c r="A302" s="527"/>
      <c r="B302" s="527"/>
      <c r="C302" s="527"/>
      <c r="D302" s="527"/>
      <c r="E302" s="522" t="s">
        <v>583</v>
      </c>
      <c r="F302" s="165">
        <f>IF(SUM(F282:F301)='Component Unit Template'!K93+'Component Unit Template'!K99,SUM(F282:F301),"ERROR")</f>
        <v>0</v>
      </c>
    </row>
    <row r="303" spans="1:8" ht="13.5" thickTop="1">
      <c r="A303" s="527"/>
      <c r="B303" s="527"/>
      <c r="C303" s="527"/>
      <c r="D303" s="527"/>
      <c r="E303" s="77"/>
      <c r="F303" s="134">
        <f>(SUM(F282:F301))-(SUM('Component Unit Template'!K93+'Component Unit Template'!K99))</f>
        <v>0</v>
      </c>
      <c r="G303" s="546" t="s">
        <v>47</v>
      </c>
      <c r="H303" s="99"/>
    </row>
    <row r="304" spans="1:8">
      <c r="A304" s="32" t="s">
        <v>260</v>
      </c>
      <c r="B304" s="21" t="s">
        <v>1693</v>
      </c>
      <c r="C304" s="23"/>
      <c r="D304" s="19"/>
      <c r="E304" s="19"/>
      <c r="F304" s="528"/>
      <c r="H304" s="29"/>
    </row>
    <row r="305" spans="1:8">
      <c r="A305" s="21"/>
      <c r="B305" s="21" t="s">
        <v>1354</v>
      </c>
      <c r="C305" s="23"/>
      <c r="D305" s="19"/>
      <c r="E305" s="19"/>
      <c r="F305" s="528"/>
      <c r="H305" s="100" t="str">
        <f>IF(H106&gt;SUM('Tab 1B-Cash Eq. &amp; Inv. Not w Tr'!R:R)+H44+H73,"Yes","No")</f>
        <v>No</v>
      </c>
    </row>
    <row r="306" spans="1:8">
      <c r="A306" s="21"/>
      <c r="B306" s="21" t="s">
        <v>1064</v>
      </c>
      <c r="C306" s="23"/>
      <c r="D306" s="19"/>
      <c r="E306" s="19"/>
      <c r="F306" s="528"/>
      <c r="H306" s="810" t="str">
        <f>IF(H305="Yes","Answer Required","")</f>
        <v/>
      </c>
    </row>
    <row r="307" spans="1:8">
      <c r="A307" s="21"/>
      <c r="B307" s="32"/>
      <c r="C307" s="23"/>
      <c r="D307" s="19"/>
      <c r="E307" s="19"/>
      <c r="F307" s="528"/>
      <c r="H307" s="29"/>
    </row>
    <row r="308" spans="1:8">
      <c r="A308" s="21"/>
      <c r="B308" s="21" t="s">
        <v>1038</v>
      </c>
      <c r="C308" s="23"/>
      <c r="D308" s="19"/>
      <c r="E308" s="19"/>
      <c r="F308" s="528"/>
      <c r="H308" s="380" t="s">
        <v>752</v>
      </c>
    </row>
    <row r="309" spans="1:8">
      <c r="A309" s="21"/>
      <c r="B309" s="21" t="s">
        <v>1381</v>
      </c>
      <c r="C309" s="23"/>
      <c r="D309" s="19"/>
      <c r="E309" s="19"/>
      <c r="F309" s="528"/>
      <c r="H309" s="810" t="str">
        <f>IF(H308="No","Answer Required","")</f>
        <v/>
      </c>
    </row>
    <row r="310" spans="1:8">
      <c r="A310" s="21"/>
      <c r="B310" s="32"/>
      <c r="C310" s="23"/>
      <c r="D310" s="19"/>
      <c r="E310" s="19"/>
      <c r="F310" s="528"/>
      <c r="H310" s="238"/>
    </row>
    <row r="311" spans="1:8">
      <c r="A311" s="21"/>
      <c r="B311" s="21" t="s">
        <v>1210</v>
      </c>
      <c r="C311" s="23"/>
      <c r="D311" s="19"/>
      <c r="E311" s="19"/>
      <c r="F311" s="528"/>
      <c r="H311" s="380" t="s">
        <v>752</v>
      </c>
    </row>
    <row r="312" spans="1:8">
      <c r="A312" s="21"/>
      <c r="B312" s="21" t="s">
        <v>1346</v>
      </c>
      <c r="C312" s="23"/>
      <c r="D312" s="19"/>
      <c r="E312" s="19"/>
      <c r="F312" s="528"/>
      <c r="H312" s="810" t="str">
        <f>IF(H311="No","Answer Required","")</f>
        <v/>
      </c>
    </row>
    <row r="313" spans="1:8">
      <c r="A313" s="21"/>
      <c r="B313" s="32"/>
      <c r="C313" s="23"/>
      <c r="D313" s="19"/>
      <c r="E313" s="19"/>
      <c r="F313" s="528"/>
      <c r="H313" s="29"/>
    </row>
    <row r="314" spans="1:8">
      <c r="A314" s="527"/>
      <c r="B314" s="527"/>
      <c r="C314" s="527"/>
      <c r="D314" s="527"/>
      <c r="E314" s="77"/>
      <c r="F314" s="526"/>
      <c r="G314" s="527"/>
      <c r="H314" s="99"/>
    </row>
    <row r="315" spans="1:8">
      <c r="A315" s="19"/>
      <c r="B315" s="19"/>
      <c r="C315" s="23"/>
      <c r="D315" s="21"/>
      <c r="E315" s="19"/>
      <c r="F315" s="19"/>
      <c r="G315" s="19"/>
      <c r="H315" s="19"/>
    </row>
    <row r="316" spans="1:8">
      <c r="A316" s="32" t="s">
        <v>261</v>
      </c>
      <c r="B316" s="21" t="s">
        <v>422</v>
      </c>
      <c r="C316" s="23"/>
      <c r="D316" s="19"/>
      <c r="E316" s="19"/>
      <c r="F316" s="528"/>
      <c r="G316" s="19"/>
      <c r="H316" s="19"/>
    </row>
    <row r="317" spans="1:8">
      <c r="A317" s="21"/>
      <c r="B317" s="21" t="s">
        <v>1212</v>
      </c>
      <c r="C317" s="23"/>
      <c r="D317" s="19"/>
      <c r="E317" s="19"/>
      <c r="F317" s="528"/>
      <c r="G317" s="19"/>
      <c r="H317" s="19"/>
    </row>
    <row r="318" spans="1:8">
      <c r="A318" s="21"/>
      <c r="B318" s="21" t="s">
        <v>1283</v>
      </c>
      <c r="C318" s="23"/>
      <c r="D318" s="19"/>
      <c r="E318" s="19"/>
      <c r="F318" s="33"/>
      <c r="G318" s="24"/>
      <c r="H318" s="164" t="s">
        <v>47</v>
      </c>
    </row>
    <row r="319" spans="1:8">
      <c r="A319" s="21"/>
      <c r="B319" s="21" t="s">
        <v>699</v>
      </c>
      <c r="C319" s="23"/>
      <c r="D319" s="19"/>
      <c r="E319" s="19"/>
      <c r="F319" s="33"/>
      <c r="G319" s="34" t="str">
        <f>IF(G318='Tab 1C - Foreign Currency Inv'!BS61,"Agrees","ERROR")</f>
        <v>Agrees</v>
      </c>
      <c r="H319" s="134">
        <f>SUM(G318-'Tab 1C - Foreign Currency Inv'!BS61)</f>
        <v>0</v>
      </c>
    </row>
    <row r="320" spans="1:8">
      <c r="A320" s="21"/>
      <c r="B320" s="32"/>
      <c r="C320" s="23"/>
      <c r="D320" s="19"/>
      <c r="E320" s="19"/>
      <c r="F320" s="33"/>
      <c r="G320" s="29"/>
      <c r="H320" s="19"/>
    </row>
    <row r="321" spans="1:8">
      <c r="A321" s="21"/>
      <c r="B321" s="32"/>
      <c r="C321" s="23"/>
      <c r="D321" s="19"/>
      <c r="E321" s="19"/>
      <c r="F321" s="33"/>
      <c r="G321" s="29"/>
      <c r="H321" s="19"/>
    </row>
    <row r="322" spans="1:8">
      <c r="A322" s="32" t="s">
        <v>262</v>
      </c>
      <c r="B322" s="21" t="s">
        <v>1610</v>
      </c>
      <c r="C322" s="23"/>
      <c r="D322" s="19"/>
      <c r="E322" s="19"/>
      <c r="F322" s="33"/>
      <c r="G322" s="23" t="s">
        <v>37</v>
      </c>
      <c r="H322" s="19"/>
    </row>
    <row r="323" spans="1:8">
      <c r="A323" s="21" t="s">
        <v>554</v>
      </c>
      <c r="B323" s="21" t="s">
        <v>1211</v>
      </c>
      <c r="C323" s="23"/>
      <c r="D323" s="19"/>
      <c r="E323" s="19"/>
      <c r="F323" s="33"/>
      <c r="G323" s="360" t="str">
        <f>IF(H113=0,"N/A","Answer Required")</f>
        <v>N/A</v>
      </c>
      <c r="H323" s="19"/>
    </row>
    <row r="324" spans="1:8">
      <c r="A324" s="21" t="s">
        <v>557</v>
      </c>
      <c r="B324" s="21" t="s">
        <v>976</v>
      </c>
      <c r="C324" s="23"/>
      <c r="D324" s="19"/>
      <c r="E324" s="19"/>
      <c r="F324" s="33"/>
      <c r="G324" s="19"/>
      <c r="H324" s="19"/>
    </row>
    <row r="325" spans="1:8">
      <c r="A325" s="21"/>
      <c r="B325" s="21"/>
      <c r="C325" s="23"/>
      <c r="D325" s="19"/>
      <c r="E325" s="19"/>
      <c r="F325" s="33"/>
      <c r="H325" s="19"/>
    </row>
    <row r="326" spans="1:8" ht="33.75" customHeight="1">
      <c r="A326" s="19"/>
      <c r="B326" s="1195" t="s">
        <v>977</v>
      </c>
      <c r="C326" s="1195"/>
      <c r="D326" s="1219" t="s">
        <v>1274</v>
      </c>
      <c r="E326" s="1220"/>
      <c r="F326" s="136" t="s">
        <v>978</v>
      </c>
      <c r="H326" s="19"/>
    </row>
    <row r="327" spans="1:8">
      <c r="A327" s="19"/>
      <c r="B327" s="1205" t="str">
        <f>IF(G323="Yes","Answer Required","")</f>
        <v/>
      </c>
      <c r="C327" s="1206"/>
      <c r="D327" s="1205" t="str">
        <f t="shared" ref="D327:D336" si="12">IF(B327="","","Answer Required")</f>
        <v/>
      </c>
      <c r="E327" s="1206"/>
      <c r="F327" s="509" t="str">
        <f t="shared" ref="F327:F336" si="13">IF(B327="","","Answer Required")</f>
        <v/>
      </c>
      <c r="G327" s="35"/>
      <c r="H327" s="19"/>
    </row>
    <row r="328" spans="1:8">
      <c r="A328" s="19"/>
      <c r="B328" s="1205"/>
      <c r="C328" s="1206"/>
      <c r="D328" s="1205" t="str">
        <f t="shared" si="12"/>
        <v/>
      </c>
      <c r="E328" s="1206"/>
      <c r="F328" s="509" t="str">
        <f t="shared" si="13"/>
        <v/>
      </c>
      <c r="G328" s="19"/>
      <c r="H328" s="19"/>
    </row>
    <row r="329" spans="1:8">
      <c r="A329" s="19"/>
      <c r="B329" s="1205"/>
      <c r="C329" s="1206"/>
      <c r="D329" s="1205" t="str">
        <f t="shared" si="12"/>
        <v/>
      </c>
      <c r="E329" s="1206"/>
      <c r="F329" s="509" t="str">
        <f t="shared" si="13"/>
        <v/>
      </c>
      <c r="G329" s="19"/>
      <c r="H329" s="19"/>
    </row>
    <row r="330" spans="1:8">
      <c r="A330" s="19"/>
      <c r="B330" s="1205"/>
      <c r="C330" s="1206"/>
      <c r="D330" s="1205" t="str">
        <f t="shared" si="12"/>
        <v/>
      </c>
      <c r="E330" s="1206"/>
      <c r="F330" s="509" t="str">
        <f t="shared" si="13"/>
        <v/>
      </c>
      <c r="G330" s="19"/>
      <c r="H330" s="19"/>
    </row>
    <row r="331" spans="1:8">
      <c r="A331" s="19"/>
      <c r="B331" s="1205"/>
      <c r="C331" s="1206"/>
      <c r="D331" s="1205" t="str">
        <f t="shared" si="12"/>
        <v/>
      </c>
      <c r="E331" s="1206"/>
      <c r="F331" s="509" t="str">
        <f t="shared" si="13"/>
        <v/>
      </c>
      <c r="G331" s="19"/>
      <c r="H331" s="19"/>
    </row>
    <row r="332" spans="1:8">
      <c r="A332" s="19"/>
      <c r="B332" s="1205"/>
      <c r="C332" s="1206"/>
      <c r="D332" s="1205" t="str">
        <f t="shared" si="12"/>
        <v/>
      </c>
      <c r="E332" s="1206"/>
      <c r="F332" s="509" t="str">
        <f t="shared" si="13"/>
        <v/>
      </c>
      <c r="G332" s="19"/>
      <c r="H332" s="19"/>
    </row>
    <row r="333" spans="1:8">
      <c r="A333" s="19"/>
      <c r="B333" s="1205"/>
      <c r="C333" s="1206"/>
      <c r="D333" s="1205" t="str">
        <f t="shared" si="12"/>
        <v/>
      </c>
      <c r="E333" s="1206"/>
      <c r="F333" s="509" t="str">
        <f t="shared" si="13"/>
        <v/>
      </c>
      <c r="G333" s="19"/>
      <c r="H333" s="19"/>
    </row>
    <row r="334" spans="1:8">
      <c r="A334" s="19"/>
      <c r="B334" s="1205"/>
      <c r="C334" s="1206"/>
      <c r="D334" s="1205" t="str">
        <f t="shared" si="12"/>
        <v/>
      </c>
      <c r="E334" s="1206"/>
      <c r="F334" s="509" t="str">
        <f t="shared" si="13"/>
        <v/>
      </c>
      <c r="G334" s="19"/>
      <c r="H334" s="19"/>
    </row>
    <row r="335" spans="1:8">
      <c r="A335" s="19"/>
      <c r="B335" s="1205"/>
      <c r="C335" s="1206"/>
      <c r="D335" s="1205" t="str">
        <f t="shared" si="12"/>
        <v/>
      </c>
      <c r="E335" s="1206"/>
      <c r="F335" s="509" t="str">
        <f t="shared" si="13"/>
        <v/>
      </c>
      <c r="G335" s="19"/>
      <c r="H335" s="19"/>
    </row>
    <row r="336" spans="1:8">
      <c r="A336" s="19"/>
      <c r="B336" s="1205"/>
      <c r="C336" s="1206"/>
      <c r="D336" s="1205" t="str">
        <f t="shared" si="12"/>
        <v/>
      </c>
      <c r="E336" s="1206"/>
      <c r="F336" s="509" t="str">
        <f t="shared" si="13"/>
        <v/>
      </c>
      <c r="G336" s="19"/>
      <c r="H336" s="19"/>
    </row>
    <row r="337" spans="1:8" ht="13.5" thickBot="1">
      <c r="A337" s="19"/>
      <c r="B337" s="21"/>
      <c r="D337" s="595"/>
      <c r="E337" s="594" t="s">
        <v>579</v>
      </c>
      <c r="F337" s="596">
        <f>SUM(F327:F336)</f>
        <v>0</v>
      </c>
      <c r="G337" s="19"/>
      <c r="H337" s="19"/>
    </row>
    <row r="338" spans="1:8" ht="13.5" thickTop="1">
      <c r="A338" s="19"/>
      <c r="B338" s="21"/>
      <c r="F338" s="19"/>
      <c r="G338" s="19"/>
      <c r="H338" s="19"/>
    </row>
    <row r="339" spans="1:8" hidden="1">
      <c r="A339" s="19"/>
      <c r="B339" s="21"/>
      <c r="F339" s="19"/>
      <c r="G339" s="19"/>
      <c r="H339" s="19"/>
    </row>
    <row r="340" spans="1:8" hidden="1">
      <c r="A340" s="19"/>
      <c r="B340" s="21"/>
      <c r="F340" s="19"/>
      <c r="G340" s="19"/>
      <c r="H340" s="19"/>
    </row>
    <row r="341" spans="1:8">
      <c r="A341" s="18"/>
      <c r="B341" s="23"/>
      <c r="C341" s="21"/>
      <c r="D341" s="19"/>
      <c r="E341" s="19"/>
      <c r="F341" s="19"/>
      <c r="G341" s="30"/>
      <c r="H341" s="19"/>
    </row>
    <row r="342" spans="1:8">
      <c r="A342" s="32" t="s">
        <v>263</v>
      </c>
      <c r="B342" s="37" t="s">
        <v>59</v>
      </c>
      <c r="C342" s="21"/>
      <c r="D342" s="19"/>
      <c r="E342" s="19"/>
      <c r="F342" s="19"/>
      <c r="G342" s="30"/>
      <c r="H342" s="19"/>
    </row>
    <row r="343" spans="1:8">
      <c r="A343" s="19"/>
      <c r="B343" s="21" t="s">
        <v>1232</v>
      </c>
      <c r="C343" s="21"/>
      <c r="D343" s="19"/>
      <c r="E343" s="19"/>
      <c r="F343" s="19"/>
      <c r="G343" s="30"/>
      <c r="H343" s="19"/>
    </row>
    <row r="344" spans="1:8">
      <c r="A344" s="19"/>
      <c r="B344" s="21" t="s">
        <v>1233</v>
      </c>
      <c r="C344" s="21"/>
      <c r="D344" s="19"/>
      <c r="E344" s="19"/>
      <c r="F344" s="19"/>
      <c r="G344" s="30"/>
      <c r="H344" s="19"/>
    </row>
    <row r="345" spans="1:8">
      <c r="A345" s="19"/>
      <c r="B345" s="1196"/>
      <c r="C345" s="1197"/>
      <c r="D345" s="1197"/>
      <c r="E345" s="1197"/>
      <c r="F345" s="1197"/>
      <c r="G345" s="1198"/>
      <c r="H345" s="19"/>
    </row>
    <row r="346" spans="1:8">
      <c r="A346" s="19"/>
      <c r="B346" s="1199"/>
      <c r="C346" s="1200"/>
      <c r="D346" s="1200"/>
      <c r="E346" s="1200"/>
      <c r="F346" s="1200"/>
      <c r="G346" s="1201"/>
      <c r="H346" s="19"/>
    </row>
    <row r="347" spans="1:8">
      <c r="A347" s="19"/>
      <c r="B347" s="1199"/>
      <c r="C347" s="1200"/>
      <c r="D347" s="1200"/>
      <c r="E347" s="1200"/>
      <c r="F347" s="1200"/>
      <c r="G347" s="1201"/>
      <c r="H347" s="19"/>
    </row>
    <row r="348" spans="1:8">
      <c r="A348" s="19"/>
      <c r="B348" s="1199"/>
      <c r="C348" s="1200"/>
      <c r="D348" s="1200"/>
      <c r="E348" s="1200"/>
      <c r="F348" s="1200"/>
      <c r="G348" s="1201"/>
      <c r="H348" s="19"/>
    </row>
    <row r="349" spans="1:8">
      <c r="A349" s="19"/>
      <c r="B349" s="1199"/>
      <c r="C349" s="1200"/>
      <c r="D349" s="1200"/>
      <c r="E349" s="1200"/>
      <c r="F349" s="1200"/>
      <c r="G349" s="1201"/>
      <c r="H349" s="19"/>
    </row>
    <row r="350" spans="1:8">
      <c r="A350" s="19"/>
      <c r="B350" s="1199"/>
      <c r="C350" s="1200"/>
      <c r="D350" s="1200"/>
      <c r="E350" s="1200"/>
      <c r="F350" s="1200"/>
      <c r="G350" s="1201"/>
      <c r="H350" s="19"/>
    </row>
    <row r="351" spans="1:8">
      <c r="A351" s="19"/>
      <c r="B351" s="1199"/>
      <c r="C351" s="1200"/>
      <c r="D351" s="1200"/>
      <c r="E351" s="1200"/>
      <c r="F351" s="1200"/>
      <c r="G351" s="1201"/>
      <c r="H351" s="19"/>
    </row>
    <row r="352" spans="1:8">
      <c r="A352" s="19"/>
      <c r="B352" s="1199"/>
      <c r="C352" s="1200"/>
      <c r="D352" s="1200"/>
      <c r="E352" s="1200"/>
      <c r="F352" s="1200"/>
      <c r="G352" s="1201"/>
      <c r="H352" s="19"/>
    </row>
    <row r="353" spans="1:8">
      <c r="A353" s="19"/>
      <c r="B353" s="1202"/>
      <c r="C353" s="1203"/>
      <c r="D353" s="1203"/>
      <c r="E353" s="1203"/>
      <c r="F353" s="1203"/>
      <c r="G353" s="1204"/>
      <c r="H353" s="19"/>
    </row>
    <row r="354" spans="1:8">
      <c r="A354" s="18"/>
      <c r="B354" s="23"/>
      <c r="C354" s="21"/>
      <c r="D354" s="19"/>
      <c r="E354" s="19"/>
      <c r="F354" s="19"/>
      <c r="G354" s="36"/>
      <c r="H354" s="19"/>
    </row>
    <row r="355" spans="1:8" hidden="1">
      <c r="B355" s="21"/>
      <c r="C355" s="21"/>
      <c r="D355" s="19"/>
      <c r="E355" s="19"/>
      <c r="F355" s="19"/>
      <c r="G355" s="19"/>
      <c r="H355" s="19"/>
    </row>
    <row r="356" spans="1:8">
      <c r="A356" s="32"/>
      <c r="B356" s="21"/>
      <c r="C356" s="23"/>
      <c r="D356" s="19"/>
      <c r="E356" s="19"/>
      <c r="F356" s="33"/>
      <c r="G356" s="19"/>
      <c r="H356" s="19"/>
    </row>
    <row r="357" spans="1:8" ht="42" customHeight="1">
      <c r="A357" s="597" t="s">
        <v>88</v>
      </c>
      <c r="B357" s="1212" t="s">
        <v>1376</v>
      </c>
      <c r="C357" s="1212"/>
      <c r="D357" s="1212"/>
      <c r="E357" s="1212"/>
      <c r="F357" s="1212"/>
      <c r="G357" s="1212"/>
      <c r="H357" s="19"/>
    </row>
    <row r="358" spans="1:8">
      <c r="A358" s="32"/>
      <c r="B358" s="1196"/>
      <c r="C358" s="1197"/>
      <c r="D358" s="1197"/>
      <c r="E358" s="1197"/>
      <c r="F358" s="1197"/>
      <c r="G358" s="1198"/>
      <c r="H358" s="19"/>
    </row>
    <row r="359" spans="1:8">
      <c r="A359" s="32"/>
      <c r="B359" s="1199"/>
      <c r="C359" s="1200"/>
      <c r="D359" s="1200"/>
      <c r="E359" s="1200"/>
      <c r="F359" s="1200"/>
      <c r="G359" s="1201"/>
      <c r="H359" s="19"/>
    </row>
    <row r="360" spans="1:8">
      <c r="A360" s="32"/>
      <c r="B360" s="1199"/>
      <c r="C360" s="1200"/>
      <c r="D360" s="1200"/>
      <c r="E360" s="1200"/>
      <c r="F360" s="1200"/>
      <c r="G360" s="1201"/>
      <c r="H360" s="19"/>
    </row>
    <row r="361" spans="1:8">
      <c r="A361" s="32"/>
      <c r="B361" s="1199"/>
      <c r="C361" s="1200"/>
      <c r="D361" s="1200"/>
      <c r="E361" s="1200"/>
      <c r="F361" s="1200"/>
      <c r="G361" s="1201"/>
      <c r="H361" s="19"/>
    </row>
    <row r="362" spans="1:8">
      <c r="A362" s="32"/>
      <c r="B362" s="1199"/>
      <c r="C362" s="1200"/>
      <c r="D362" s="1200"/>
      <c r="E362" s="1200"/>
      <c r="F362" s="1200"/>
      <c r="G362" s="1201"/>
      <c r="H362" s="19"/>
    </row>
    <row r="363" spans="1:8">
      <c r="A363" s="32"/>
      <c r="B363" s="1202"/>
      <c r="C363" s="1203"/>
      <c r="D363" s="1203"/>
      <c r="E363" s="1203"/>
      <c r="F363" s="1203"/>
      <c r="G363" s="1204"/>
      <c r="H363" s="19"/>
    </row>
    <row r="364" spans="1:8">
      <c r="A364" s="32"/>
      <c r="B364" s="32"/>
      <c r="C364" s="23"/>
      <c r="D364" s="19"/>
      <c r="E364" s="19"/>
      <c r="F364" s="33"/>
      <c r="G364" s="19"/>
      <c r="H364" s="19"/>
    </row>
    <row r="365" spans="1:8">
      <c r="A365" s="32"/>
      <c r="B365" s="32"/>
      <c r="C365" s="23"/>
      <c r="D365" s="19"/>
      <c r="E365" s="19"/>
      <c r="F365" s="33"/>
      <c r="G365" s="19"/>
      <c r="H365" s="19"/>
    </row>
    <row r="366" spans="1:8">
      <c r="A366" s="32"/>
      <c r="B366" s="600"/>
      <c r="C366" s="600"/>
      <c r="D366" s="498"/>
      <c r="E366" s="498"/>
      <c r="F366" s="601"/>
      <c r="G366" s="601"/>
      <c r="H366" s="605"/>
    </row>
    <row r="367" spans="1:8">
      <c r="A367" s="32"/>
      <c r="B367" s="32"/>
      <c r="C367" s="23"/>
      <c r="D367" s="19"/>
      <c r="E367" s="19"/>
      <c r="F367" s="33"/>
      <c r="G367" s="19"/>
      <c r="H367" s="19"/>
    </row>
    <row r="368" spans="1:8">
      <c r="A368" s="32"/>
      <c r="B368" s="32"/>
      <c r="C368" s="23"/>
      <c r="D368" s="19"/>
      <c r="E368" s="19"/>
      <c r="F368" s="33"/>
      <c r="G368" s="19"/>
      <c r="H368" s="19"/>
    </row>
    <row r="369" spans="1:8">
      <c r="A369" s="32"/>
      <c r="B369" s="32"/>
      <c r="C369" s="23"/>
      <c r="D369" s="19"/>
      <c r="E369" s="19"/>
      <c r="F369" s="33"/>
      <c r="G369" s="19"/>
      <c r="H369" s="19"/>
    </row>
    <row r="370" spans="1:8">
      <c r="A370" s="32"/>
      <c r="B370" s="32"/>
      <c r="C370" s="23"/>
      <c r="D370" s="19"/>
      <c r="E370" s="19"/>
      <c r="F370" s="33"/>
      <c r="G370" s="19"/>
      <c r="H370" s="19"/>
    </row>
    <row r="371" spans="1:8">
      <c r="A371" s="32"/>
      <c r="B371" s="32"/>
      <c r="C371" s="23"/>
      <c r="D371" s="19"/>
      <c r="E371" s="19"/>
      <c r="F371" s="33"/>
      <c r="G371" s="19"/>
      <c r="H371" s="19"/>
    </row>
    <row r="372" spans="1:8">
      <c r="A372" s="32"/>
      <c r="B372" s="32"/>
      <c r="C372" s="23"/>
      <c r="D372" s="19"/>
      <c r="E372" s="19"/>
      <c r="F372" s="33"/>
      <c r="G372" s="19"/>
      <c r="H372" s="19"/>
    </row>
    <row r="373" spans="1:8">
      <c r="A373" s="32"/>
      <c r="B373" s="32"/>
      <c r="C373" s="23"/>
      <c r="D373" s="19"/>
      <c r="E373" s="19"/>
      <c r="F373" s="33"/>
      <c r="G373" s="19"/>
      <c r="H373" s="19"/>
    </row>
    <row r="375" spans="1:8" hidden="1">
      <c r="A375" s="606" t="s">
        <v>1214</v>
      </c>
      <c r="G375" s="236" t="s">
        <v>527</v>
      </c>
    </row>
    <row r="376" spans="1:8" hidden="1">
      <c r="A376" s="606" t="s">
        <v>1215</v>
      </c>
      <c r="G376" s="236" t="s">
        <v>652</v>
      </c>
    </row>
    <row r="377" spans="1:8" hidden="1">
      <c r="A377" s="606" t="s">
        <v>1216</v>
      </c>
      <c r="G377" s="236" t="s">
        <v>231</v>
      </c>
    </row>
    <row r="378" spans="1:8" hidden="1">
      <c r="A378" s="606" t="s">
        <v>1217</v>
      </c>
    </row>
    <row r="379" spans="1:8" hidden="1">
      <c r="A379" s="606" t="s">
        <v>1218</v>
      </c>
    </row>
    <row r="380" spans="1:8" hidden="1">
      <c r="A380" s="606" t="s">
        <v>1219</v>
      </c>
    </row>
    <row r="381" spans="1:8" hidden="1">
      <c r="A381" s="606" t="s">
        <v>1220</v>
      </c>
    </row>
    <row r="382" spans="1:8" hidden="1">
      <c r="A382" s="606" t="s">
        <v>1221</v>
      </c>
    </row>
    <row r="383" spans="1:8" hidden="1">
      <c r="A383" s="606" t="s">
        <v>1222</v>
      </c>
    </row>
    <row r="384" spans="1:8" hidden="1">
      <c r="A384" s="606" t="s">
        <v>1223</v>
      </c>
    </row>
    <row r="385" spans="1:1" hidden="1">
      <c r="A385" s="606" t="s">
        <v>1224</v>
      </c>
    </row>
    <row r="386" spans="1:1" hidden="1">
      <c r="A386" s="606" t="s">
        <v>1225</v>
      </c>
    </row>
    <row r="387" spans="1:1" hidden="1">
      <c r="A387" s="606" t="s">
        <v>1337</v>
      </c>
    </row>
    <row r="388" spans="1:1" hidden="1">
      <c r="A388" s="606" t="s">
        <v>1336</v>
      </c>
    </row>
    <row r="389" spans="1:1" hidden="1">
      <c r="A389" s="606" t="s">
        <v>1226</v>
      </c>
    </row>
    <row r="390" spans="1:1" hidden="1">
      <c r="A390" s="606" t="s">
        <v>1227</v>
      </c>
    </row>
    <row r="391" spans="1:1" hidden="1">
      <c r="A391" s="606" t="s">
        <v>1228</v>
      </c>
    </row>
    <row r="392" spans="1:1" hidden="1">
      <c r="A392" s="606" t="s">
        <v>1229</v>
      </c>
    </row>
    <row r="393" spans="1:1" hidden="1">
      <c r="A393" s="606" t="s">
        <v>1335</v>
      </c>
    </row>
    <row r="394" spans="1:1" hidden="1">
      <c r="A394" s="606" t="s">
        <v>1230</v>
      </c>
    </row>
    <row r="395" spans="1:1" hidden="1">
      <c r="A395" s="606" t="s">
        <v>1231</v>
      </c>
    </row>
  </sheetData>
  <sheetProtection algorithmName="SHA-512" hashValue="cBIhZ5LpepzduiDQtCKKf0FZZUupeoyVZRsi9dYFyOxF2gwtHjz9drvLhe+t1tXZ0tJ9rCVSfIExDjiJwT1MVA==" saltValue="98ydZ4Jm6JV2O4qEThV4RQ==" spinCount="100000" sheet="1" objects="1" scenarios="1"/>
  <customSheetViews>
    <customSheetView guid="{FBB78E72-3FBC-498A-91AC-D094BCE26D3C}" scale="85" showPageBreaks="1" showGridLines="0" printArea="1" hiddenRows="1" topLeftCell="A284">
      <selection activeCell="A74" sqref="A74:XFD74"/>
      <rowBreaks count="2" manualBreakCount="2">
        <brk id="132" max="9" man="1"/>
        <brk id="245" max="9" man="1"/>
      </rowBreaks>
      <pageMargins left="0.75" right="0.25" top="0.64" bottom="0.47" header="0.31" footer="0.28000000000000003"/>
      <pageSetup scale="49" orientation="portrait" cellComments="asDisplayed" r:id="rId1"/>
      <headerFooter alignWithMargins="0">
        <oddHeader>&amp;C&amp;"Times New Roman,Bold"Attachment CU4
Financial Statement Template (FST)
&amp;A</oddHeader>
        <oddFooter>&amp;L&amp;F \ &amp;A&amp;RPage &amp;P</oddFooter>
      </headerFooter>
    </customSheetView>
    <customSheetView guid="{A5477BC9-FA34-449D-B0C2-AF3469BA8BF0}" scale="70" showGridLines="0" printArea="1" hiddenRows="1" topLeftCell="A32">
      <selection activeCell="H49" sqref="H49"/>
      <rowBreaks count="2" manualBreakCount="2">
        <brk id="132" max="9" man="1"/>
        <brk id="245" max="9" man="1"/>
      </rowBreaks>
      <pageMargins left="0.75" right="0.25" top="0.64" bottom="0.47" header="0.31" footer="0.28000000000000003"/>
      <pageSetup scale="49" orientation="portrait" cellComments="asDisplayed" r:id="rId2"/>
      <headerFooter alignWithMargins="0">
        <oddHeader>&amp;C&amp;"Times New Roman,Bold"Attachment CU4
Financial Statement Template (FST)
&amp;A</oddHeader>
        <oddFooter>&amp;L&amp;F \ &amp;A&amp;RPage &amp;P</oddFooter>
      </headerFooter>
    </customSheetView>
    <customSheetView guid="{DFFBE5FE-C073-48C5-BDD2-B0EAD8B5A8E7}" scale="90" showGridLines="0" printArea="1" hiddenRows="1" topLeftCell="A309">
      <selection activeCell="B328" sqref="B328"/>
      <rowBreaks count="2" manualBreakCount="2">
        <brk id="132" max="9" man="1"/>
        <brk id="245" max="9" man="1"/>
      </rowBreaks>
      <pageMargins left="0.75" right="0.25" top="0.64" bottom="0.47" header="0.31" footer="0.28000000000000003"/>
      <pageSetup scale="49" orientation="portrait" cellComments="asDisplayed" r:id="rId3"/>
      <headerFooter alignWithMargins="0">
        <oddHeader>&amp;C&amp;"Times New Roman,Bold"Attachment CU4
Financial Statement Template (FST)
&amp;A</oddHeader>
        <oddFooter>&amp;L&amp;F \ &amp;A&amp;RPage &amp;P</oddFooter>
      </headerFooter>
    </customSheetView>
    <customSheetView guid="{9A25463D-BF6D-4A94-84A5-80E7F3451C59}" showPageBreaks="1" showGridLines="0" printArea="1" hiddenRows="1" view="pageBreakPreview">
      <selection sqref="A1:B1"/>
      <rowBreaks count="2" manualBreakCount="2">
        <brk id="123" max="9" man="1"/>
        <brk id="255" max="9" man="1"/>
      </rowBreaks>
      <pageMargins left="0.75" right="0.25" top="0.64" bottom="0.47" header="0.31" footer="0.28000000000000003"/>
      <pageSetup scale="40" orientation="portrait" cellComments="asDisplayed" r:id="rId4"/>
      <headerFooter alignWithMargins="0">
        <oddHeader>&amp;C&amp;"Times New Roman,Bold"Attachment CU4
Financial Statement Template (FST)
&amp;A</oddHeader>
        <oddFooter>&amp;L&amp;F \ &amp;A&amp;RPage &amp;P</oddFooter>
      </headerFooter>
    </customSheetView>
    <customSheetView guid="{10B70302-090E-4CFD-BAE6-CC560B897D26}" showGridLines="0" hiddenRows="1" topLeftCell="A89">
      <selection activeCell="C3" sqref="C3:E3"/>
      <rowBreaks count="3" manualBreakCount="3">
        <brk id="123" max="9" man="1"/>
        <brk id="207" max="9" man="1"/>
        <brk id="303" max="9" man="1"/>
      </rowBreaks>
      <pageMargins left="0.75" right="0.25" top="0.64" bottom="0.47" header="0.31" footer="0.28000000000000003"/>
      <pageSetup scale="49" orientation="portrait" cellComments="asDisplayed" r:id="rId5"/>
      <headerFooter alignWithMargins="0">
        <oddHeader>&amp;C&amp;"Times New Roman,Bold"Attachment CU4
Financial Statement Template (FST)
&amp;A</oddHeader>
        <oddFooter>&amp;L&amp;F \ &amp;A&amp;RPage &amp;P</oddFooter>
      </headerFooter>
    </customSheetView>
  </customSheetViews>
  <mergeCells count="73">
    <mergeCell ref="B11:D11"/>
    <mergeCell ref="B15:D15"/>
    <mergeCell ref="A1:B1"/>
    <mergeCell ref="A2:B2"/>
    <mergeCell ref="C5:E5"/>
    <mergeCell ref="C6:E6"/>
    <mergeCell ref="A3:B3"/>
    <mergeCell ref="C1:E1"/>
    <mergeCell ref="C2:E2"/>
    <mergeCell ref="C3:E3"/>
    <mergeCell ref="C4:E4"/>
    <mergeCell ref="A4:B4"/>
    <mergeCell ref="A5:B5"/>
    <mergeCell ref="A6:B6"/>
    <mergeCell ref="B328:C328"/>
    <mergeCell ref="B14:D14"/>
    <mergeCell ref="D145:F145"/>
    <mergeCell ref="D138:F138"/>
    <mergeCell ref="D152:F152"/>
    <mergeCell ref="B16:D16"/>
    <mergeCell ref="B18:D18"/>
    <mergeCell ref="B19:D19"/>
    <mergeCell ref="B17:D17"/>
    <mergeCell ref="B21:D21"/>
    <mergeCell ref="B22:D22"/>
    <mergeCell ref="C106:G106"/>
    <mergeCell ref="C112:G112"/>
    <mergeCell ref="B121:G121"/>
    <mergeCell ref="B23:D23"/>
    <mergeCell ref="D128:F128"/>
    <mergeCell ref="C131:G131"/>
    <mergeCell ref="D129:F129"/>
    <mergeCell ref="D130:F130"/>
    <mergeCell ref="D137:F137"/>
    <mergeCell ref="B12:D12"/>
    <mergeCell ref="B13:D13"/>
    <mergeCell ref="B357:G357"/>
    <mergeCell ref="B358:G363"/>
    <mergeCell ref="B329:C329"/>
    <mergeCell ref="B330:C330"/>
    <mergeCell ref="B20:D20"/>
    <mergeCell ref="D336:E336"/>
    <mergeCell ref="B24:D24"/>
    <mergeCell ref="B25:D25"/>
    <mergeCell ref="B332:C332"/>
    <mergeCell ref="B333:C333"/>
    <mergeCell ref="D326:E326"/>
    <mergeCell ref="D327:E327"/>
    <mergeCell ref="D144:F144"/>
    <mergeCell ref="D136:F136"/>
    <mergeCell ref="C155:G155"/>
    <mergeCell ref="B331:C331"/>
    <mergeCell ref="C139:G139"/>
    <mergeCell ref="D154:F154"/>
    <mergeCell ref="D153:F153"/>
    <mergeCell ref="C147:G147"/>
    <mergeCell ref="D146:F146"/>
    <mergeCell ref="E159:F159"/>
    <mergeCell ref="E184:F184"/>
    <mergeCell ref="B326:C326"/>
    <mergeCell ref="B345:G353"/>
    <mergeCell ref="B334:C334"/>
    <mergeCell ref="B335:C335"/>
    <mergeCell ref="B336:C336"/>
    <mergeCell ref="D333:E333"/>
    <mergeCell ref="D334:E334"/>
    <mergeCell ref="D335:E335"/>
    <mergeCell ref="D328:E328"/>
    <mergeCell ref="D329:E329"/>
    <mergeCell ref="D330:E330"/>
    <mergeCell ref="D331:E331"/>
    <mergeCell ref="D332:E332"/>
    <mergeCell ref="B327:C327"/>
  </mergeCells>
  <phoneticPr fontId="27" type="noConversion"/>
  <conditionalFormatting sqref="B327">
    <cfRule type="containsText" dxfId="267" priority="42" operator="containsText" text="Answer Required">
      <formula>NOT(ISERROR(SEARCH("Answer Required",B327)))</formula>
    </cfRule>
  </conditionalFormatting>
  <conditionalFormatting sqref="B121:G121">
    <cfRule type="containsText" dxfId="266" priority="36" operator="containsText" text="Answer Required">
      <formula>NOT(ISERROR(SEARCH("Answer Required",B121)))</formula>
    </cfRule>
  </conditionalFormatting>
  <conditionalFormatting sqref="D327:D336">
    <cfRule type="containsText" dxfId="265" priority="41" operator="containsText" text="Answer Required">
      <formula>NOT(ISERROR(SEARCH("Answer Required",D327)))</formula>
    </cfRule>
  </conditionalFormatting>
  <conditionalFormatting sqref="E181:F181">
    <cfRule type="cellIs" dxfId="264" priority="20" operator="equal">
      <formula>"ERROR"</formula>
    </cfRule>
  </conditionalFormatting>
  <conditionalFormatting sqref="E206:F206">
    <cfRule type="cellIs" dxfId="263" priority="19" operator="equal">
      <formula>"ERROR"</formula>
    </cfRule>
  </conditionalFormatting>
  <conditionalFormatting sqref="F230">
    <cfRule type="cellIs" dxfId="262" priority="18" operator="equal">
      <formula>"ERROR"</formula>
    </cfRule>
  </conditionalFormatting>
  <conditionalFormatting sqref="F254">
    <cfRule type="cellIs" dxfId="261" priority="17" operator="equal">
      <formula>"ERROR"</formula>
    </cfRule>
  </conditionalFormatting>
  <conditionalFormatting sqref="F278">
    <cfRule type="cellIs" dxfId="260" priority="16" operator="equal">
      <formula>"ERROR"</formula>
    </cfRule>
  </conditionalFormatting>
  <conditionalFormatting sqref="F302">
    <cfRule type="cellIs" dxfId="259" priority="14" operator="equal">
      <formula>"ERROR"</formula>
    </cfRule>
  </conditionalFormatting>
  <conditionalFormatting sqref="F327:F336">
    <cfRule type="containsText" dxfId="258" priority="40" operator="containsText" text="Answer Required">
      <formula>NOT(ISERROR(SEARCH("Answer Required",F327)))</formula>
    </cfRule>
  </conditionalFormatting>
  <conditionalFormatting sqref="G319">
    <cfRule type="cellIs" dxfId="257" priority="13" operator="equal">
      <formula>"ERROR"</formula>
    </cfRule>
  </conditionalFormatting>
  <conditionalFormatting sqref="G323">
    <cfRule type="cellIs" dxfId="256" priority="35" operator="equal">
      <formula>"Answer Required"</formula>
    </cfRule>
  </conditionalFormatting>
  <conditionalFormatting sqref="G161:H180 G186:H205 G210:H229 G234:H253">
    <cfRule type="containsText" dxfId="255" priority="32" operator="containsText" text="Answer Required">
      <formula>NOT(ISERROR(SEARCH("Answer Required",G161)))</formula>
    </cfRule>
  </conditionalFormatting>
  <conditionalFormatting sqref="G258:H277">
    <cfRule type="containsText" dxfId="254" priority="31" operator="containsText" text="Answer Required">
      <formula>NOT(ISERROR(SEARCH("Answer Required",G258)))</formula>
    </cfRule>
  </conditionalFormatting>
  <conditionalFormatting sqref="G282:H301">
    <cfRule type="containsText" dxfId="253" priority="30" operator="containsText" text="Answer Required">
      <formula>NOT(ISERROR(SEARCH("Answer Required",G282)))</formula>
    </cfRule>
  </conditionalFormatting>
  <conditionalFormatting sqref="H35">
    <cfRule type="containsText" dxfId="252" priority="6" operator="containsText" text="Answer Required">
      <formula>NOT(ISERROR(SEARCH("Answer Required",H35)))</formula>
    </cfRule>
  </conditionalFormatting>
  <conditionalFormatting sqref="H40">
    <cfRule type="containsText" dxfId="251" priority="5" operator="containsText" text="Answer Required">
      <formula>NOT(ISERROR(SEARCH("Answer Required",H40)))</formula>
    </cfRule>
  </conditionalFormatting>
  <conditionalFormatting sqref="H62">
    <cfRule type="cellIs" dxfId="250" priority="27" operator="equal">
      <formula>"ERROR"</formula>
    </cfRule>
  </conditionalFormatting>
  <conditionalFormatting sqref="H64">
    <cfRule type="containsText" dxfId="249" priority="39" operator="containsText" text="Answer Required">
      <formula>NOT(ISERROR(SEARCH("Answer Required",H64)))</formula>
    </cfRule>
  </conditionalFormatting>
  <conditionalFormatting sqref="H69">
    <cfRule type="containsText" dxfId="248" priority="4" operator="containsText" text="Answer Required">
      <formula>NOT(ISERROR(SEARCH("Answer Required",H69)))</formula>
    </cfRule>
  </conditionalFormatting>
  <conditionalFormatting sqref="H92">
    <cfRule type="cellIs" dxfId="247" priority="26" operator="equal">
      <formula>"ERROR"</formula>
    </cfRule>
  </conditionalFormatting>
  <conditionalFormatting sqref="H94">
    <cfRule type="containsText" dxfId="246" priority="38" operator="containsText" text="Answer Required">
      <formula>NOT(ISERROR(SEARCH("Answer Required",H94)))</formula>
    </cfRule>
  </conditionalFormatting>
  <conditionalFormatting sqref="H115">
    <cfRule type="cellIs" dxfId="245" priority="24" operator="equal">
      <formula>"ERROR"</formula>
    </cfRule>
  </conditionalFormatting>
  <conditionalFormatting sqref="H119">
    <cfRule type="cellIs" dxfId="244" priority="37" operator="equal">
      <formula>"Answer Required"</formula>
    </cfRule>
  </conditionalFormatting>
  <conditionalFormatting sqref="H131">
    <cfRule type="cellIs" dxfId="243" priority="12" operator="equal">
      <formula>"ERROR"</formula>
    </cfRule>
  </conditionalFormatting>
  <conditionalFormatting sqref="H139">
    <cfRule type="cellIs" dxfId="242" priority="23" operator="equal">
      <formula>"ERROR"</formula>
    </cfRule>
  </conditionalFormatting>
  <conditionalFormatting sqref="H147">
    <cfRule type="cellIs" dxfId="241" priority="22" operator="equal">
      <formula>"ERROR"</formula>
    </cfRule>
  </conditionalFormatting>
  <conditionalFormatting sqref="H155">
    <cfRule type="cellIs" dxfId="240" priority="21" operator="equal">
      <formula>"ERROR"</formula>
    </cfRule>
  </conditionalFormatting>
  <conditionalFormatting sqref="H306">
    <cfRule type="containsText" dxfId="239" priority="34" operator="containsText" text="Answer Required">
      <formula>NOT(ISERROR(SEARCH("Answer Required",H306)))</formula>
    </cfRule>
  </conditionalFormatting>
  <conditionalFormatting sqref="H308">
    <cfRule type="containsText" dxfId="238" priority="7" operator="containsText" text="Answer REquired">
      <formula>NOT(ISERROR(SEARCH("Answer REquired",H308)))</formula>
    </cfRule>
  </conditionalFormatting>
  <conditionalFormatting sqref="H309">
    <cfRule type="containsText" dxfId="237" priority="9" operator="containsText" text="Answer Required">
      <formula>NOT(ISERROR(SEARCH("Answer Required",H309)))</formula>
    </cfRule>
  </conditionalFormatting>
  <conditionalFormatting sqref="H311">
    <cfRule type="containsText" dxfId="236" priority="8" operator="containsText" text="Answer REquired">
      <formula>NOT(ISERROR(SEARCH("Answer REquired",H311)))</formula>
    </cfRule>
  </conditionalFormatting>
  <conditionalFormatting sqref="H312">
    <cfRule type="containsText" dxfId="235" priority="33" operator="containsText" text="Answer Required">
      <formula>NOT(ISERROR(SEARCH("Answer Required",H312)))</formula>
    </cfRule>
  </conditionalFormatting>
  <conditionalFormatting sqref="I39">
    <cfRule type="cellIs" dxfId="234" priority="11" operator="equal">
      <formula>"Answer Required"</formula>
    </cfRule>
  </conditionalFormatting>
  <conditionalFormatting sqref="I47">
    <cfRule type="cellIs" dxfId="233" priority="2" operator="equal">
      <formula>"Answer Required"</formula>
    </cfRule>
  </conditionalFormatting>
  <conditionalFormatting sqref="I52">
    <cfRule type="cellIs" dxfId="232" priority="10" operator="equal">
      <formula>"Answer Required"</formula>
    </cfRule>
  </conditionalFormatting>
  <conditionalFormatting sqref="I68">
    <cfRule type="cellIs" dxfId="231" priority="3" operator="equal">
      <formula>"Answer Required"</formula>
    </cfRule>
  </conditionalFormatting>
  <conditionalFormatting sqref="I76">
    <cfRule type="cellIs" dxfId="230" priority="1" operator="equal">
      <formula>"Answer Required"</formula>
    </cfRule>
  </conditionalFormatting>
  <dataValidations count="8">
    <dataValidation allowBlank="1" showInputMessage="1" showErrorMessage="1" errorTitle="Enter Whole Number" error="The agency did not enter a whole number, please round the amount.  Enter a whole number ONLY." promptTitle="Enter a whole number" sqref="H62:H63" xr:uid="{00000000-0002-0000-0300-000000000000}"/>
    <dataValidation type="whole" allowBlank="1" showInputMessage="1" showErrorMessage="1" errorTitle="Enter Whole Number" error="The agency did not enter a whole number, please round the amount.  Enter a whole number ONLY." promptTitle="Enter a whole number" sqref="H61 H65" xr:uid="{00000000-0002-0000-0300-000001000000}">
      <formula1>-9999999999</formula1>
      <formula2>9999999999</formula2>
    </dataValidation>
    <dataValidation type="list" allowBlank="1" showInputMessage="1" showErrorMessage="1" error="Use the drop-down list to enter Yes, No or N/A" sqref="H311 H308" xr:uid="{00000000-0002-0000-0300-000002000000}">
      <formula1>$G$375:$G$377</formula1>
    </dataValidation>
    <dataValidation type="whole" allowBlank="1" showInputMessage="1" showErrorMessage="1" error="Enter a whole number." sqref="H128:H130 H87:H89 H83 H81 H68 H58:H60 H54 H52 H39 F282:F301 F258:F277 F234:F253 F210:F229 H152:H154 H144:H146 H136:H138 H44:H45 H47 H73:H74 H76 G318 F327:F336 E161:F180 E186:F205" xr:uid="{00000000-0002-0000-0300-000003000000}">
      <formula1>-9999999999999</formula1>
      <formula2>9999999999999</formula2>
    </dataValidation>
    <dataValidation type="whole" allowBlank="1" showInputMessage="1" showErrorMessage="1" errorTitle="Enter Whole Number" error="Please enter a whole number." promptTitle="Enter a whole number" sqref="H67 H38" xr:uid="{00000000-0002-0000-0300-000004000000}">
      <formula1>-999999999999</formula1>
      <formula2>999999999999</formula2>
    </dataValidation>
    <dataValidation type="date" allowBlank="1" showInputMessage="1" showErrorMessage="1" error="Enter a date between 6/1/04 and 12/15/04." sqref="B8:D10" xr:uid="{00000000-0002-0000-0300-000005000000}">
      <formula1>38139</formula1>
      <formula2>38336</formula2>
    </dataValidation>
    <dataValidation type="list" allowBlank="1" showInputMessage="1" showErrorMessage="1" error="Use the drop-down list to enter Yes or No" sqref="G282:G301 G258:G277 G210:G229 G234:G253 G186:G205 G161:G180" xr:uid="{00000000-0002-0000-0300-000006000000}">
      <formula1>$G$375:$G$376</formula1>
    </dataValidation>
    <dataValidation type="list" allowBlank="1" showInputMessage="1" showErrorMessage="1" error="Use the drop-down list to enter Yes or No." sqref="H119 G323" xr:uid="{00000000-0002-0000-0300-000007000000}">
      <formula1>$G$375:$G$376</formula1>
    </dataValidation>
  </dataValidations>
  <pageMargins left="0.75" right="0.25" top="0.64" bottom="0.47" header="0.31" footer="0.28000000000000003"/>
  <pageSetup scale="49" orientation="portrait" cellComments="asDisplayed" r:id="rId6"/>
  <headerFooter alignWithMargins="0">
    <oddHeader>&amp;C&amp;"Times New Roman,Bold"Attachment CU4
Financial Statement Template (FST)
&amp;A</oddHeader>
    <oddFooter>&amp;L&amp;"Times New Roman,Regular"&amp;F \ &amp;A&amp;RPage &amp;P</oddFooter>
  </headerFooter>
  <rowBreaks count="3" manualBreakCount="3">
    <brk id="123" max="9" man="1"/>
    <brk id="207" max="9" man="1"/>
    <brk id="303" max="9" man="1"/>
  </rowBreaks>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163"/>
  <sheetViews>
    <sheetView showGridLines="0" showZeros="0" zoomScale="90" zoomScaleNormal="90" zoomScaleSheetLayoutView="80" workbookViewId="0">
      <pane xSplit="5" ySplit="11" topLeftCell="Y12" activePane="bottomRight" state="frozen"/>
      <selection activeCell="B3" sqref="B3:E3"/>
      <selection pane="topRight" activeCell="B3" sqref="B3:E3"/>
      <selection pane="bottomLeft" activeCell="B3" sqref="B3:E3"/>
      <selection pane="bottomRight" activeCell="C4" sqref="C4:I4"/>
    </sheetView>
  </sheetViews>
  <sheetFormatPr defaultColWidth="9.140625" defaultRowHeight="15"/>
  <cols>
    <col min="1" max="1" width="10.7109375" style="607" customWidth="1"/>
    <col min="2" max="2" width="57.140625" style="607" customWidth="1"/>
    <col min="3" max="3" width="40.7109375" style="607" customWidth="1"/>
    <col min="4" max="4" width="16.7109375" style="607" customWidth="1"/>
    <col min="5" max="5" width="21.7109375" style="607" customWidth="1"/>
    <col min="6" max="8" width="18.7109375" style="607" customWidth="1"/>
    <col min="9" max="9" width="20" style="607" bestFit="1" customWidth="1"/>
    <col min="10" max="11" width="18.7109375" style="607" customWidth="1"/>
    <col min="12" max="12" width="20" style="607" bestFit="1" customWidth="1"/>
    <col min="13" max="13" width="20.7109375" style="607" customWidth="1"/>
    <col min="14" max="15" width="18.7109375" style="607" customWidth="1"/>
    <col min="16" max="17" width="20.7109375" style="607" customWidth="1"/>
    <col min="18" max="24" width="18.7109375" style="607" customWidth="1"/>
    <col min="25" max="26" width="20.7109375" style="607" customWidth="1"/>
    <col min="27" max="31" width="18.7109375" style="607" customWidth="1"/>
    <col min="32" max="33" width="20.7109375" style="607" customWidth="1"/>
    <col min="34" max="34" width="9.5703125" style="607" customWidth="1"/>
    <col min="35" max="35" width="18.28515625" style="607" customWidth="1"/>
    <col min="36" max="16384" width="9.140625" style="607"/>
  </cols>
  <sheetData>
    <row r="2" spans="1:35">
      <c r="A2" s="18" t="s">
        <v>507</v>
      </c>
      <c r="B2" s="19"/>
      <c r="C2" s="1259" t="str">
        <f>'Component Unit Template'!G1</f>
        <v/>
      </c>
      <c r="D2" s="1259"/>
      <c r="E2" s="1259"/>
      <c r="F2" s="1259"/>
      <c r="G2" s="1259"/>
      <c r="H2" s="1259"/>
      <c r="I2" s="1259"/>
    </row>
    <row r="3" spans="1:35" ht="35.25" customHeight="1">
      <c r="A3" s="18" t="s">
        <v>528</v>
      </c>
      <c r="B3" s="19"/>
      <c r="C3" s="1263" t="str">
        <f>IF('Component Unit Template'!G2="","",'Component Unit Template'!G2)</f>
        <v/>
      </c>
      <c r="D3" s="1264"/>
      <c r="E3" s="1264"/>
      <c r="F3" s="1264"/>
      <c r="G3" s="1264"/>
      <c r="H3" s="1264"/>
      <c r="I3" s="1265"/>
    </row>
    <row r="4" spans="1:35">
      <c r="A4" s="18" t="s">
        <v>586</v>
      </c>
      <c r="B4" s="19"/>
      <c r="C4" s="1260" t="str">
        <f>IF('Component Unit Template'!G3="","",'Component Unit Template'!G3)</f>
        <v/>
      </c>
      <c r="D4" s="1260"/>
      <c r="E4" s="1260"/>
      <c r="F4" s="1260"/>
      <c r="G4" s="1260"/>
      <c r="H4" s="1260"/>
      <c r="I4" s="1260"/>
    </row>
    <row r="5" spans="1:35">
      <c r="A5" s="18" t="s">
        <v>315</v>
      </c>
      <c r="B5" s="19"/>
      <c r="C5" s="1261" t="str">
        <f>IF('Component Unit Template'!G4="","",'Component Unit Template'!G4)</f>
        <v/>
      </c>
      <c r="D5" s="1261"/>
      <c r="E5" s="1261"/>
      <c r="F5" s="1261"/>
      <c r="G5" s="1261"/>
      <c r="H5" s="1261"/>
      <c r="I5" s="1261"/>
    </row>
    <row r="6" spans="1:35">
      <c r="A6" s="18" t="s">
        <v>677</v>
      </c>
      <c r="B6" s="19"/>
      <c r="C6" s="1262" t="str">
        <f>IF('Component Unit Template'!G5="","",'Component Unit Template'!G5)</f>
        <v/>
      </c>
      <c r="D6" s="1262"/>
      <c r="E6" s="1262"/>
      <c r="F6" s="1262"/>
      <c r="G6" s="1262"/>
      <c r="H6" s="1262"/>
      <c r="I6" s="1262"/>
    </row>
    <row r="7" spans="1:35">
      <c r="A7" s="18" t="s">
        <v>36</v>
      </c>
      <c r="B7" s="19"/>
      <c r="C7" s="1258" t="str">
        <f>IF('Component Unit Template'!G6="","",'Component Unit Template'!G6)</f>
        <v/>
      </c>
      <c r="D7" s="1258"/>
      <c r="E7" s="1258"/>
      <c r="F7" s="1258"/>
      <c r="G7" s="1258"/>
      <c r="H7" s="1258"/>
      <c r="I7" s="1258"/>
    </row>
    <row r="8" spans="1:35" ht="42.75" customHeight="1">
      <c r="F8" s="608"/>
      <c r="G8" s="608"/>
      <c r="H8" s="608"/>
      <c r="I8" s="608"/>
      <c r="J8" s="608"/>
      <c r="K8" s="608"/>
      <c r="L8" s="608"/>
      <c r="M8" s="608"/>
      <c r="N8" s="608"/>
      <c r="O8" s="608"/>
      <c r="P8" s="608"/>
      <c r="Q8" s="608"/>
    </row>
    <row r="9" spans="1:35">
      <c r="A9" s="608"/>
      <c r="B9" s="608"/>
      <c r="C9" s="608"/>
      <c r="D9" s="608"/>
      <c r="E9" s="608"/>
      <c r="F9" s="1250" t="s">
        <v>1237</v>
      </c>
      <c r="G9" s="1251"/>
      <c r="H9" s="1251"/>
      <c r="I9" s="1251"/>
      <c r="J9" s="1251"/>
      <c r="K9" s="1251"/>
      <c r="L9" s="1251"/>
      <c r="M9" s="1251"/>
      <c r="N9" s="1251"/>
      <c r="O9" s="1252"/>
      <c r="P9" s="609"/>
      <c r="Q9" s="609"/>
      <c r="R9" s="1253" t="s">
        <v>1238</v>
      </c>
      <c r="S9" s="1254"/>
      <c r="T9" s="1254"/>
      <c r="U9" s="1255"/>
      <c r="V9" s="1253" t="s">
        <v>1239</v>
      </c>
      <c r="W9" s="1254"/>
      <c r="X9" s="1255"/>
      <c r="Y9" s="608"/>
      <c r="Z9" s="608"/>
      <c r="AA9" s="608"/>
      <c r="AF9" s="608"/>
      <c r="AG9" s="608"/>
      <c r="AI9" s="608"/>
    </row>
    <row r="10" spans="1:35">
      <c r="A10" s="608"/>
      <c r="B10" s="608"/>
      <c r="C10" s="608"/>
      <c r="D10" s="608"/>
      <c r="E10" s="608"/>
      <c r="F10" s="610" t="s">
        <v>1240</v>
      </c>
      <c r="G10" s="611"/>
      <c r="H10" s="611"/>
      <c r="I10" s="611"/>
      <c r="J10" s="611"/>
      <c r="K10" s="611"/>
      <c r="L10" s="611"/>
      <c r="M10" s="611"/>
      <c r="N10" s="612"/>
      <c r="O10" s="613"/>
      <c r="P10" s="614"/>
      <c r="Q10" s="614"/>
      <c r="R10" s="615"/>
      <c r="S10" s="616"/>
      <c r="T10" s="616"/>
      <c r="U10" s="617"/>
      <c r="V10" s="1256" t="s">
        <v>1241</v>
      </c>
      <c r="W10" s="1257"/>
      <c r="X10" s="618"/>
      <c r="Y10" s="608"/>
      <c r="Z10" s="608"/>
      <c r="AA10" s="619"/>
      <c r="AB10" s="1254" t="s">
        <v>1242</v>
      </c>
      <c r="AC10" s="1254"/>
      <c r="AD10" s="1254"/>
      <c r="AE10" s="1255"/>
      <c r="AF10" s="608"/>
      <c r="AG10" s="608"/>
      <c r="AH10" s="620"/>
      <c r="AI10" s="608"/>
    </row>
    <row r="11" spans="1:35" ht="108.75" customHeight="1">
      <c r="A11" s="621" t="s">
        <v>1243</v>
      </c>
      <c r="B11" s="622" t="s">
        <v>1244</v>
      </c>
      <c r="C11" s="623" t="s">
        <v>1245</v>
      </c>
      <c r="D11" s="623" t="s">
        <v>1246</v>
      </c>
      <c r="E11" s="624" t="s">
        <v>1213</v>
      </c>
      <c r="F11" s="625" t="s">
        <v>1247</v>
      </c>
      <c r="G11" s="625" t="s">
        <v>1248</v>
      </c>
      <c r="H11" s="625" t="s">
        <v>1249</v>
      </c>
      <c r="I11" s="625" t="s">
        <v>1250</v>
      </c>
      <c r="J11" s="625" t="s">
        <v>1251</v>
      </c>
      <c r="K11" s="625" t="s">
        <v>1252</v>
      </c>
      <c r="L11" s="625" t="s">
        <v>1253</v>
      </c>
      <c r="M11" s="625" t="s">
        <v>1254</v>
      </c>
      <c r="N11" s="626" t="s">
        <v>1255</v>
      </c>
      <c r="O11" s="627" t="s">
        <v>1256</v>
      </c>
      <c r="P11" s="628" t="s">
        <v>1442</v>
      </c>
      <c r="Q11" s="832" t="s">
        <v>1265</v>
      </c>
      <c r="R11" s="629" t="s">
        <v>1257</v>
      </c>
      <c r="S11" s="629" t="s">
        <v>1258</v>
      </c>
      <c r="T11" s="629" t="s">
        <v>1259</v>
      </c>
      <c r="U11" s="625" t="s">
        <v>1260</v>
      </c>
      <c r="V11" s="625" t="s">
        <v>1261</v>
      </c>
      <c r="W11" s="625" t="s">
        <v>1262</v>
      </c>
      <c r="X11" s="630" t="s">
        <v>1263</v>
      </c>
      <c r="Y11" s="631" t="s">
        <v>1264</v>
      </c>
      <c r="Z11" s="632" t="s">
        <v>1265</v>
      </c>
      <c r="AA11" s="633" t="s">
        <v>1266</v>
      </c>
      <c r="AB11" s="634" t="s">
        <v>1267</v>
      </c>
      <c r="AC11" s="634" t="s">
        <v>973</v>
      </c>
      <c r="AD11" s="634" t="s">
        <v>974</v>
      </c>
      <c r="AE11" s="634" t="s">
        <v>1268</v>
      </c>
      <c r="AF11" s="631" t="s">
        <v>579</v>
      </c>
      <c r="AG11" s="635" t="s">
        <v>1265</v>
      </c>
      <c r="AH11" s="635" t="s">
        <v>1269</v>
      </c>
      <c r="AI11" s="671" t="s">
        <v>1270</v>
      </c>
    </row>
    <row r="12" spans="1:35">
      <c r="A12" s="636" t="s">
        <v>179</v>
      </c>
      <c r="B12" s="637" t="s">
        <v>558</v>
      </c>
      <c r="C12" s="638"/>
      <c r="D12" s="608"/>
      <c r="E12" s="608"/>
      <c r="F12" s="608"/>
      <c r="G12" s="608"/>
      <c r="H12" s="608"/>
      <c r="I12" s="608"/>
      <c r="J12" s="608"/>
      <c r="K12" s="608"/>
      <c r="L12" s="608"/>
      <c r="M12" s="608"/>
      <c r="N12" s="608"/>
      <c r="O12" s="653"/>
      <c r="P12" s="639">
        <f>IF(SUM(F12:O12)=SUM(R12:U12),SUM(F12:O12))</f>
        <v>0</v>
      </c>
      <c r="Q12" s="833">
        <f>SUM(F12:O12)-SUM(R12:U12)</f>
        <v>0</v>
      </c>
      <c r="R12" s="653"/>
      <c r="S12" s="653"/>
      <c r="T12" s="653"/>
      <c r="U12" s="653"/>
      <c r="V12" s="653"/>
      <c r="W12" s="653"/>
      <c r="X12" s="653"/>
      <c r="Y12" s="641">
        <f t="shared" ref="Y12:Y105" si="0">IF(SUM(R12:U12)=SUM(V12:X12), SUM(V12:X12),"Error")</f>
        <v>0</v>
      </c>
      <c r="Z12" s="642">
        <f t="shared" ref="Z12:Z105" si="1">SUM(R12:U12)-SUM(V12:X12)</f>
        <v>0</v>
      </c>
      <c r="AA12" s="640"/>
      <c r="AB12" s="640"/>
      <c r="AC12" s="640"/>
      <c r="AD12" s="640"/>
      <c r="AE12" s="643"/>
      <c r="AF12" s="644">
        <f t="shared" ref="AF12:AF142" si="2">IF(SUM(AA12:AE12)=Y12,SUM(AA12:AE12),"Error")</f>
        <v>0</v>
      </c>
      <c r="AG12" s="642">
        <f t="shared" ref="AG12:AG142" si="3">SUM(AA12:AE12)-Y12</f>
        <v>0</v>
      </c>
      <c r="AH12" s="645" t="str">
        <f>IF(AND(P12=Y12,Y12=AF12),"","Error")</f>
        <v/>
      </c>
      <c r="AI12" s="608" t="str">
        <f>IF('Component Unit Template'!$G$2="","",'Component Unit Template'!$G$2)</f>
        <v/>
      </c>
    </row>
    <row r="13" spans="1:35">
      <c r="A13" s="636"/>
      <c r="B13" s="608"/>
      <c r="C13" s="646"/>
      <c r="D13" s="608"/>
      <c r="E13" s="608"/>
      <c r="F13" s="608"/>
      <c r="G13" s="608"/>
      <c r="H13" s="608"/>
      <c r="I13" s="608"/>
      <c r="J13" s="608"/>
      <c r="K13" s="608"/>
      <c r="L13" s="608"/>
      <c r="M13" s="608"/>
      <c r="N13" s="608"/>
      <c r="O13" s="647"/>
      <c r="P13" s="608"/>
      <c r="Q13" s="608"/>
      <c r="R13" s="648"/>
      <c r="S13" s="648"/>
      <c r="T13" s="648"/>
      <c r="U13" s="648"/>
      <c r="V13" s="648"/>
      <c r="W13" s="648"/>
      <c r="X13" s="648"/>
      <c r="Y13" s="649"/>
      <c r="Z13" s="650"/>
      <c r="AA13" s="648"/>
      <c r="AB13" s="648"/>
      <c r="AC13" s="648"/>
      <c r="AD13" s="648"/>
      <c r="AE13" s="651"/>
      <c r="AF13" s="608"/>
      <c r="AG13" s="650"/>
      <c r="AH13" s="645"/>
      <c r="AI13" s="608"/>
    </row>
    <row r="14" spans="1:35">
      <c r="A14" s="636" t="s">
        <v>179</v>
      </c>
      <c r="B14" s="637" t="s">
        <v>849</v>
      </c>
      <c r="C14" s="652"/>
      <c r="D14" s="652"/>
      <c r="E14" s="652"/>
      <c r="F14" s="653"/>
      <c r="G14" s="653"/>
      <c r="H14" s="653"/>
      <c r="I14" s="653"/>
      <c r="J14" s="653"/>
      <c r="K14" s="653"/>
      <c r="L14" s="653"/>
      <c r="M14" s="653"/>
      <c r="N14" s="653"/>
      <c r="O14" s="653"/>
      <c r="P14" s="639">
        <f>IF(SUM(F14:O14)=SUM(R14:U14),SUM(F14:O14))</f>
        <v>0</v>
      </c>
      <c r="Q14" s="833">
        <f t="shared" ref="Q14:Q18" si="4">SUM(F14:O14)-SUM(R14:U14)</f>
        <v>0</v>
      </c>
      <c r="R14" s="653"/>
      <c r="S14" s="653"/>
      <c r="T14" s="653"/>
      <c r="U14" s="653"/>
      <c r="V14" s="653"/>
      <c r="W14" s="653"/>
      <c r="X14" s="653"/>
      <c r="Y14" s="654">
        <f t="shared" si="0"/>
        <v>0</v>
      </c>
      <c r="Z14" s="642">
        <f t="shared" si="1"/>
        <v>0</v>
      </c>
      <c r="AA14" s="640"/>
      <c r="AB14" s="640"/>
      <c r="AC14" s="640"/>
      <c r="AD14" s="640"/>
      <c r="AE14" s="643"/>
      <c r="AF14" s="644">
        <f t="shared" si="2"/>
        <v>0</v>
      </c>
      <c r="AG14" s="642">
        <f t="shared" si="3"/>
        <v>0</v>
      </c>
      <c r="AH14" s="645" t="str">
        <f t="shared" ref="AH14:AH105" si="5">IF(AND(P14=Y14,Y14=AF14),"","Error")</f>
        <v/>
      </c>
      <c r="AI14" s="608" t="str">
        <f>IF('Component Unit Template'!$G$2="","",'Component Unit Template'!$G$2)</f>
        <v/>
      </c>
    </row>
    <row r="15" spans="1:35">
      <c r="A15" s="636" t="s">
        <v>179</v>
      </c>
      <c r="B15" s="637" t="s">
        <v>849</v>
      </c>
      <c r="C15" s="652"/>
      <c r="D15" s="652"/>
      <c r="E15" s="652"/>
      <c r="F15" s="653"/>
      <c r="G15" s="653"/>
      <c r="H15" s="653"/>
      <c r="I15" s="653"/>
      <c r="J15" s="653"/>
      <c r="K15" s="653"/>
      <c r="L15" s="653"/>
      <c r="M15" s="653"/>
      <c r="N15" s="653"/>
      <c r="O15" s="653"/>
      <c r="P15" s="639">
        <f>IF(SUM(F15:O15)=SUM(R15:U15),SUM(F15:O15))</f>
        <v>0</v>
      </c>
      <c r="Q15" s="833">
        <f t="shared" si="4"/>
        <v>0</v>
      </c>
      <c r="R15" s="653"/>
      <c r="S15" s="653"/>
      <c r="T15" s="653"/>
      <c r="U15" s="653"/>
      <c r="V15" s="653"/>
      <c r="W15" s="653"/>
      <c r="X15" s="653"/>
      <c r="Y15" s="654">
        <f t="shared" ref="Y15:Y18" si="6">IF(SUM(R15:U15)=SUM(V15:X15), SUM(V15:X15),"Error")</f>
        <v>0</v>
      </c>
      <c r="Z15" s="642">
        <f t="shared" si="1"/>
        <v>0</v>
      </c>
      <c r="AA15" s="640"/>
      <c r="AB15" s="640"/>
      <c r="AC15" s="640"/>
      <c r="AD15" s="640"/>
      <c r="AE15" s="643"/>
      <c r="AF15" s="644">
        <f t="shared" si="2"/>
        <v>0</v>
      </c>
      <c r="AG15" s="642">
        <f t="shared" si="3"/>
        <v>0</v>
      </c>
      <c r="AH15" s="645" t="str">
        <f t="shared" si="5"/>
        <v/>
      </c>
      <c r="AI15" s="608" t="str">
        <f>IF('Component Unit Template'!$G$2="","",'Component Unit Template'!$G$2)</f>
        <v/>
      </c>
    </row>
    <row r="16" spans="1:35">
      <c r="A16" s="636" t="s">
        <v>179</v>
      </c>
      <c r="B16" s="637" t="s">
        <v>849</v>
      </c>
      <c r="C16" s="652"/>
      <c r="D16" s="652"/>
      <c r="E16" s="652"/>
      <c r="F16" s="653"/>
      <c r="G16" s="653"/>
      <c r="H16" s="653"/>
      <c r="I16" s="653"/>
      <c r="J16" s="653"/>
      <c r="K16" s="653"/>
      <c r="L16" s="653"/>
      <c r="M16" s="653"/>
      <c r="N16" s="653"/>
      <c r="O16" s="653"/>
      <c r="P16" s="639">
        <f>IF(SUM(F16:O16)=SUM(R16:U16),SUM(F16:O16))</f>
        <v>0</v>
      </c>
      <c r="Q16" s="833">
        <f t="shared" si="4"/>
        <v>0</v>
      </c>
      <c r="R16" s="653"/>
      <c r="S16" s="653"/>
      <c r="T16" s="653"/>
      <c r="U16" s="653"/>
      <c r="V16" s="653"/>
      <c r="W16" s="653"/>
      <c r="X16" s="653"/>
      <c r="Y16" s="654">
        <f t="shared" si="6"/>
        <v>0</v>
      </c>
      <c r="Z16" s="642">
        <f t="shared" si="1"/>
        <v>0</v>
      </c>
      <c r="AA16" s="640"/>
      <c r="AB16" s="640"/>
      <c r="AC16" s="640"/>
      <c r="AD16" s="640"/>
      <c r="AE16" s="643"/>
      <c r="AF16" s="644">
        <f t="shared" si="2"/>
        <v>0</v>
      </c>
      <c r="AG16" s="642">
        <f t="shared" si="3"/>
        <v>0</v>
      </c>
      <c r="AH16" s="645" t="str">
        <f t="shared" si="5"/>
        <v/>
      </c>
      <c r="AI16" s="608" t="str">
        <f>IF('Component Unit Template'!$G$2="","",'Component Unit Template'!$G$2)</f>
        <v/>
      </c>
    </row>
    <row r="17" spans="1:35">
      <c r="A17" s="636" t="s">
        <v>179</v>
      </c>
      <c r="B17" s="637" t="s">
        <v>849</v>
      </c>
      <c r="C17" s="652"/>
      <c r="D17" s="652"/>
      <c r="E17" s="652"/>
      <c r="F17" s="653"/>
      <c r="G17" s="653"/>
      <c r="H17" s="653"/>
      <c r="I17" s="653"/>
      <c r="J17" s="653"/>
      <c r="K17" s="653"/>
      <c r="L17" s="653"/>
      <c r="M17" s="653"/>
      <c r="N17" s="653"/>
      <c r="O17" s="653"/>
      <c r="P17" s="639">
        <f>IF(SUM(F17:O17)=SUM(R17:U17),SUM(F17:O17))</f>
        <v>0</v>
      </c>
      <c r="Q17" s="833">
        <f t="shared" si="4"/>
        <v>0</v>
      </c>
      <c r="R17" s="653"/>
      <c r="S17" s="653"/>
      <c r="T17" s="653"/>
      <c r="U17" s="653"/>
      <c r="V17" s="653"/>
      <c r="W17" s="653"/>
      <c r="X17" s="653"/>
      <c r="Y17" s="654">
        <f t="shared" si="6"/>
        <v>0</v>
      </c>
      <c r="Z17" s="642">
        <f t="shared" si="1"/>
        <v>0</v>
      </c>
      <c r="AA17" s="640"/>
      <c r="AB17" s="640"/>
      <c r="AC17" s="640"/>
      <c r="AD17" s="640"/>
      <c r="AE17" s="643"/>
      <c r="AF17" s="644">
        <f t="shared" si="2"/>
        <v>0</v>
      </c>
      <c r="AG17" s="642">
        <f t="shared" si="3"/>
        <v>0</v>
      </c>
      <c r="AH17" s="645" t="str">
        <f t="shared" si="5"/>
        <v/>
      </c>
      <c r="AI17" s="608" t="str">
        <f>IF('Component Unit Template'!$G$2="","",'Component Unit Template'!$G$2)</f>
        <v/>
      </c>
    </row>
    <row r="18" spans="1:35">
      <c r="A18" s="636" t="s">
        <v>179</v>
      </c>
      <c r="B18" s="637" t="s">
        <v>849</v>
      </c>
      <c r="C18" s="652"/>
      <c r="D18" s="652"/>
      <c r="E18" s="652"/>
      <c r="F18" s="653"/>
      <c r="G18" s="653"/>
      <c r="H18" s="653"/>
      <c r="I18" s="653"/>
      <c r="J18" s="653"/>
      <c r="K18" s="653"/>
      <c r="L18" s="653"/>
      <c r="M18" s="653"/>
      <c r="N18" s="653"/>
      <c r="O18" s="653"/>
      <c r="P18" s="639">
        <f>IF(SUM(F18:O18)=SUM(R18:U18),SUM(F18:O18))</f>
        <v>0</v>
      </c>
      <c r="Q18" s="833">
        <f t="shared" si="4"/>
        <v>0</v>
      </c>
      <c r="R18" s="653"/>
      <c r="S18" s="653"/>
      <c r="T18" s="653"/>
      <c r="U18" s="653"/>
      <c r="V18" s="653"/>
      <c r="W18" s="653"/>
      <c r="X18" s="653"/>
      <c r="Y18" s="654">
        <f t="shared" si="6"/>
        <v>0</v>
      </c>
      <c r="Z18" s="642">
        <f t="shared" si="1"/>
        <v>0</v>
      </c>
      <c r="AA18" s="640"/>
      <c r="AB18" s="640"/>
      <c r="AC18" s="640"/>
      <c r="AD18" s="640"/>
      <c r="AE18" s="643"/>
      <c r="AF18" s="644">
        <f t="shared" si="2"/>
        <v>0</v>
      </c>
      <c r="AG18" s="642">
        <f t="shared" si="3"/>
        <v>0</v>
      </c>
      <c r="AH18" s="645" t="str">
        <f t="shared" si="5"/>
        <v/>
      </c>
      <c r="AI18" s="608" t="str">
        <f>IF('Component Unit Template'!$G$2="","",'Component Unit Template'!$G$2)</f>
        <v/>
      </c>
    </row>
    <row r="19" spans="1:35">
      <c r="A19" s="636"/>
      <c r="B19" s="608"/>
      <c r="C19" s="646"/>
      <c r="D19" s="608"/>
      <c r="E19" s="608"/>
      <c r="F19" s="608"/>
      <c r="G19" s="608"/>
      <c r="H19" s="608"/>
      <c r="I19" s="608"/>
      <c r="J19" s="608"/>
      <c r="K19" s="608"/>
      <c r="L19" s="608"/>
      <c r="M19" s="608"/>
      <c r="N19" s="608"/>
      <c r="O19" s="647"/>
      <c r="P19" s="608"/>
      <c r="Q19" s="608"/>
      <c r="R19" s="648"/>
      <c r="S19" s="648"/>
      <c r="T19" s="648"/>
      <c r="U19" s="648"/>
      <c r="V19" s="648"/>
      <c r="W19" s="648"/>
      <c r="X19" s="648"/>
      <c r="Y19" s="649"/>
      <c r="Z19" s="650"/>
      <c r="AA19" s="648"/>
      <c r="AB19" s="648"/>
      <c r="AC19" s="648"/>
      <c r="AD19" s="648"/>
      <c r="AE19" s="651"/>
      <c r="AF19" s="608"/>
      <c r="AG19" s="650"/>
      <c r="AH19" s="645"/>
      <c r="AI19" s="608"/>
    </row>
    <row r="20" spans="1:35">
      <c r="A20" s="636" t="s">
        <v>179</v>
      </c>
      <c r="B20" s="637" t="s">
        <v>1003</v>
      </c>
      <c r="C20" s="652"/>
      <c r="D20" s="652"/>
      <c r="E20" s="652"/>
      <c r="F20" s="653"/>
      <c r="G20" s="653"/>
      <c r="H20" s="653"/>
      <c r="I20" s="653"/>
      <c r="J20" s="653"/>
      <c r="K20" s="653"/>
      <c r="L20" s="653"/>
      <c r="M20" s="653"/>
      <c r="N20" s="653"/>
      <c r="O20" s="653"/>
      <c r="P20" s="639">
        <f>IF(SUM(F20:O20)=SUM(R20:U20),SUM(F20:O20))</f>
        <v>0</v>
      </c>
      <c r="Q20" s="833">
        <f t="shared" ref="Q20:Q24" si="7">SUM(F20:O20)-SUM(R20:U20)</f>
        <v>0</v>
      </c>
      <c r="R20" s="653"/>
      <c r="S20" s="653"/>
      <c r="T20" s="653"/>
      <c r="U20" s="653"/>
      <c r="V20" s="653"/>
      <c r="W20" s="653"/>
      <c r="X20" s="653"/>
      <c r="Y20" s="654">
        <f t="shared" si="0"/>
        <v>0</v>
      </c>
      <c r="Z20" s="642">
        <f t="shared" si="1"/>
        <v>0</v>
      </c>
      <c r="AA20" s="640"/>
      <c r="AB20" s="640"/>
      <c r="AC20" s="640"/>
      <c r="AD20" s="640"/>
      <c r="AE20" s="643"/>
      <c r="AF20" s="644">
        <f t="shared" si="2"/>
        <v>0</v>
      </c>
      <c r="AG20" s="642">
        <f t="shared" si="3"/>
        <v>0</v>
      </c>
      <c r="AH20" s="645" t="str">
        <f t="shared" si="5"/>
        <v/>
      </c>
      <c r="AI20" s="608" t="str">
        <f>IF('Component Unit Template'!$G$2="","",'Component Unit Template'!$G$2)</f>
        <v/>
      </c>
    </row>
    <row r="21" spans="1:35">
      <c r="A21" s="636" t="s">
        <v>179</v>
      </c>
      <c r="B21" s="637" t="s">
        <v>1003</v>
      </c>
      <c r="C21" s="652"/>
      <c r="D21" s="652"/>
      <c r="E21" s="652"/>
      <c r="F21" s="653"/>
      <c r="G21" s="653"/>
      <c r="H21" s="653"/>
      <c r="I21" s="653"/>
      <c r="J21" s="653"/>
      <c r="K21" s="653"/>
      <c r="L21" s="653"/>
      <c r="M21" s="653"/>
      <c r="N21" s="653"/>
      <c r="O21" s="653"/>
      <c r="P21" s="639">
        <f>IF(SUM(F21:O21)=SUM(R21:U21),SUM(F21:O21))</f>
        <v>0</v>
      </c>
      <c r="Q21" s="833">
        <f t="shared" si="7"/>
        <v>0</v>
      </c>
      <c r="R21" s="653"/>
      <c r="S21" s="653"/>
      <c r="T21" s="653"/>
      <c r="U21" s="653"/>
      <c r="V21" s="653"/>
      <c r="W21" s="653"/>
      <c r="X21" s="653"/>
      <c r="Y21" s="654">
        <f t="shared" ref="Y21:Y24" si="8">IF(SUM(R21:U21)=SUM(V21:X21), SUM(V21:X21),"Error")</f>
        <v>0</v>
      </c>
      <c r="Z21" s="642">
        <f t="shared" si="1"/>
        <v>0</v>
      </c>
      <c r="AA21" s="640"/>
      <c r="AB21" s="640"/>
      <c r="AC21" s="640"/>
      <c r="AD21" s="640"/>
      <c r="AE21" s="643"/>
      <c r="AF21" s="644">
        <f t="shared" si="2"/>
        <v>0</v>
      </c>
      <c r="AG21" s="642">
        <f t="shared" si="3"/>
        <v>0</v>
      </c>
      <c r="AH21" s="645" t="str">
        <f t="shared" si="5"/>
        <v/>
      </c>
      <c r="AI21" s="608" t="str">
        <f>IF('Component Unit Template'!$G$2="","",'Component Unit Template'!$G$2)</f>
        <v/>
      </c>
    </row>
    <row r="22" spans="1:35">
      <c r="A22" s="636" t="s">
        <v>179</v>
      </c>
      <c r="B22" s="637" t="s">
        <v>1003</v>
      </c>
      <c r="C22" s="652"/>
      <c r="D22" s="652"/>
      <c r="E22" s="652"/>
      <c r="F22" s="653"/>
      <c r="G22" s="653"/>
      <c r="H22" s="653"/>
      <c r="I22" s="653"/>
      <c r="J22" s="653"/>
      <c r="K22" s="653"/>
      <c r="L22" s="653"/>
      <c r="M22" s="653"/>
      <c r="N22" s="653"/>
      <c r="O22" s="653"/>
      <c r="P22" s="639">
        <f>IF(SUM(F22:O22)=SUM(R22:U22),SUM(F22:O22))</f>
        <v>0</v>
      </c>
      <c r="Q22" s="833">
        <f t="shared" si="7"/>
        <v>0</v>
      </c>
      <c r="R22" s="653"/>
      <c r="S22" s="653"/>
      <c r="T22" s="653"/>
      <c r="U22" s="653"/>
      <c r="V22" s="653"/>
      <c r="W22" s="653"/>
      <c r="X22" s="653"/>
      <c r="Y22" s="654">
        <f t="shared" si="8"/>
        <v>0</v>
      </c>
      <c r="Z22" s="642">
        <f t="shared" si="1"/>
        <v>0</v>
      </c>
      <c r="AA22" s="640"/>
      <c r="AB22" s="640"/>
      <c r="AC22" s="640"/>
      <c r="AD22" s="640"/>
      <c r="AE22" s="643"/>
      <c r="AF22" s="644">
        <f t="shared" si="2"/>
        <v>0</v>
      </c>
      <c r="AG22" s="642">
        <f t="shared" si="3"/>
        <v>0</v>
      </c>
      <c r="AH22" s="645" t="str">
        <f t="shared" si="5"/>
        <v/>
      </c>
      <c r="AI22" s="608" t="str">
        <f>IF('Component Unit Template'!$G$2="","",'Component Unit Template'!$G$2)</f>
        <v/>
      </c>
    </row>
    <row r="23" spans="1:35">
      <c r="A23" s="636" t="s">
        <v>179</v>
      </c>
      <c r="B23" s="637" t="s">
        <v>1003</v>
      </c>
      <c r="C23" s="652"/>
      <c r="D23" s="652"/>
      <c r="E23" s="652"/>
      <c r="F23" s="653"/>
      <c r="G23" s="653"/>
      <c r="H23" s="653"/>
      <c r="I23" s="653"/>
      <c r="J23" s="653"/>
      <c r="K23" s="653"/>
      <c r="L23" s="653"/>
      <c r="M23" s="653"/>
      <c r="N23" s="653"/>
      <c r="O23" s="653"/>
      <c r="P23" s="639">
        <f>IF(SUM(F23:O23)=SUM(R23:U23),SUM(F23:O23))</f>
        <v>0</v>
      </c>
      <c r="Q23" s="833">
        <f t="shared" si="7"/>
        <v>0</v>
      </c>
      <c r="R23" s="653"/>
      <c r="S23" s="653"/>
      <c r="T23" s="653"/>
      <c r="U23" s="653"/>
      <c r="V23" s="653"/>
      <c r="W23" s="653"/>
      <c r="X23" s="653"/>
      <c r="Y23" s="654">
        <f t="shared" si="8"/>
        <v>0</v>
      </c>
      <c r="Z23" s="642">
        <f t="shared" si="1"/>
        <v>0</v>
      </c>
      <c r="AA23" s="640"/>
      <c r="AB23" s="640"/>
      <c r="AC23" s="640"/>
      <c r="AD23" s="640"/>
      <c r="AE23" s="643"/>
      <c r="AF23" s="644">
        <f t="shared" si="2"/>
        <v>0</v>
      </c>
      <c r="AG23" s="642">
        <f t="shared" si="3"/>
        <v>0</v>
      </c>
      <c r="AH23" s="645" t="str">
        <f t="shared" si="5"/>
        <v/>
      </c>
      <c r="AI23" s="608" t="str">
        <f>IF('Component Unit Template'!$G$2="","",'Component Unit Template'!$G$2)</f>
        <v/>
      </c>
    </row>
    <row r="24" spans="1:35">
      <c r="A24" s="636" t="s">
        <v>179</v>
      </c>
      <c r="B24" s="637" t="s">
        <v>1003</v>
      </c>
      <c r="C24" s="652"/>
      <c r="D24" s="652"/>
      <c r="E24" s="652"/>
      <c r="F24" s="653"/>
      <c r="G24" s="653"/>
      <c r="H24" s="653"/>
      <c r="I24" s="653"/>
      <c r="J24" s="653"/>
      <c r="K24" s="653"/>
      <c r="L24" s="653"/>
      <c r="M24" s="653"/>
      <c r="N24" s="653"/>
      <c r="O24" s="653"/>
      <c r="P24" s="639">
        <f>IF(SUM(F24:O24)=SUM(R24:U24),SUM(F24:O24))</f>
        <v>0</v>
      </c>
      <c r="Q24" s="833">
        <f t="shared" si="7"/>
        <v>0</v>
      </c>
      <c r="R24" s="653"/>
      <c r="S24" s="653"/>
      <c r="T24" s="653"/>
      <c r="U24" s="653"/>
      <c r="V24" s="653"/>
      <c r="W24" s="653"/>
      <c r="X24" s="653"/>
      <c r="Y24" s="654">
        <f t="shared" si="8"/>
        <v>0</v>
      </c>
      <c r="Z24" s="642">
        <f t="shared" si="1"/>
        <v>0</v>
      </c>
      <c r="AA24" s="640"/>
      <c r="AB24" s="640"/>
      <c r="AC24" s="640"/>
      <c r="AD24" s="640"/>
      <c r="AE24" s="643"/>
      <c r="AF24" s="644">
        <f t="shared" si="2"/>
        <v>0</v>
      </c>
      <c r="AG24" s="642">
        <f t="shared" si="3"/>
        <v>0</v>
      </c>
      <c r="AH24" s="645" t="str">
        <f t="shared" si="5"/>
        <v/>
      </c>
      <c r="AI24" s="608" t="str">
        <f>IF('Component Unit Template'!$G$2="","",'Component Unit Template'!$G$2)</f>
        <v/>
      </c>
    </row>
    <row r="25" spans="1:35">
      <c r="A25" s="636"/>
      <c r="B25" s="608"/>
      <c r="C25" s="646"/>
      <c r="D25" s="608"/>
      <c r="E25" s="608"/>
      <c r="F25" s="608"/>
      <c r="G25" s="608"/>
      <c r="H25" s="608"/>
      <c r="I25" s="608"/>
      <c r="J25" s="608"/>
      <c r="K25" s="608"/>
      <c r="L25" s="608"/>
      <c r="M25" s="608"/>
      <c r="N25" s="608"/>
      <c r="O25" s="647"/>
      <c r="P25" s="608"/>
      <c r="Q25" s="608"/>
      <c r="R25" s="648"/>
      <c r="S25" s="648"/>
      <c r="T25" s="648"/>
      <c r="U25" s="648"/>
      <c r="V25" s="648"/>
      <c r="W25" s="648"/>
      <c r="X25" s="648"/>
      <c r="Y25" s="649"/>
      <c r="Z25" s="650"/>
      <c r="AA25" s="648"/>
      <c r="AB25" s="648"/>
      <c r="AC25" s="648"/>
      <c r="AD25" s="648"/>
      <c r="AE25" s="651"/>
      <c r="AF25" s="608"/>
      <c r="AG25" s="650"/>
      <c r="AH25" s="645"/>
      <c r="AI25" s="608"/>
    </row>
    <row r="26" spans="1:35">
      <c r="A26" s="636" t="s">
        <v>179</v>
      </c>
      <c r="B26" s="637" t="s">
        <v>559</v>
      </c>
      <c r="C26" s="652"/>
      <c r="D26" s="652"/>
      <c r="E26" s="652"/>
      <c r="F26" s="653"/>
      <c r="G26" s="653"/>
      <c r="H26" s="653"/>
      <c r="I26" s="653"/>
      <c r="J26" s="653"/>
      <c r="K26" s="653"/>
      <c r="L26" s="653"/>
      <c r="M26" s="653"/>
      <c r="N26" s="653"/>
      <c r="O26" s="653"/>
      <c r="P26" s="639">
        <f t="shared" ref="P26:P30" si="9">IF(SUM(F26:O26)=SUM(R26:U26),SUM(F26:O26))</f>
        <v>0</v>
      </c>
      <c r="Q26" s="833">
        <f t="shared" ref="Q26:Q30" si="10">SUM(F26:O26)-SUM(R26:U26)</f>
        <v>0</v>
      </c>
      <c r="R26" s="653"/>
      <c r="S26" s="653"/>
      <c r="T26" s="653"/>
      <c r="U26" s="653"/>
      <c r="V26" s="653"/>
      <c r="W26" s="653"/>
      <c r="X26" s="653"/>
      <c r="Y26" s="654">
        <f t="shared" si="0"/>
        <v>0</v>
      </c>
      <c r="Z26" s="642">
        <f t="shared" si="1"/>
        <v>0</v>
      </c>
      <c r="AA26" s="640"/>
      <c r="AB26" s="640"/>
      <c r="AC26" s="640"/>
      <c r="AD26" s="640"/>
      <c r="AE26" s="643"/>
      <c r="AF26" s="644">
        <f t="shared" si="2"/>
        <v>0</v>
      </c>
      <c r="AG26" s="642">
        <f t="shared" si="3"/>
        <v>0</v>
      </c>
      <c r="AH26" s="645" t="str">
        <f t="shared" si="5"/>
        <v/>
      </c>
      <c r="AI26" s="608" t="str">
        <f>IF('Component Unit Template'!$G$2="","",'Component Unit Template'!$G$2)</f>
        <v/>
      </c>
    </row>
    <row r="27" spans="1:35">
      <c r="A27" s="636" t="s">
        <v>179</v>
      </c>
      <c r="B27" s="637" t="s">
        <v>559</v>
      </c>
      <c r="C27" s="652"/>
      <c r="D27" s="652"/>
      <c r="E27" s="652"/>
      <c r="F27" s="653"/>
      <c r="G27" s="653"/>
      <c r="H27" s="653"/>
      <c r="I27" s="653"/>
      <c r="J27" s="653"/>
      <c r="K27" s="653"/>
      <c r="L27" s="653"/>
      <c r="M27" s="653"/>
      <c r="N27" s="653"/>
      <c r="O27" s="653"/>
      <c r="P27" s="639">
        <f t="shared" si="9"/>
        <v>0</v>
      </c>
      <c r="Q27" s="833">
        <f t="shared" si="10"/>
        <v>0</v>
      </c>
      <c r="R27" s="653"/>
      <c r="S27" s="653"/>
      <c r="T27" s="653"/>
      <c r="U27" s="653"/>
      <c r="V27" s="653"/>
      <c r="W27" s="653"/>
      <c r="X27" s="653"/>
      <c r="Y27" s="654">
        <f t="shared" ref="Y27:Y30" si="11">IF(SUM(R27:U27)=SUM(V27:X27), SUM(V27:X27),"Error")</f>
        <v>0</v>
      </c>
      <c r="Z27" s="642">
        <f t="shared" si="1"/>
        <v>0</v>
      </c>
      <c r="AA27" s="640"/>
      <c r="AB27" s="640"/>
      <c r="AC27" s="640"/>
      <c r="AD27" s="640"/>
      <c r="AE27" s="643"/>
      <c r="AF27" s="644">
        <f t="shared" si="2"/>
        <v>0</v>
      </c>
      <c r="AG27" s="642">
        <f t="shared" si="3"/>
        <v>0</v>
      </c>
      <c r="AH27" s="645" t="str">
        <f t="shared" si="5"/>
        <v/>
      </c>
      <c r="AI27" s="608" t="str">
        <f>IF('Component Unit Template'!$G$2="","",'Component Unit Template'!$G$2)</f>
        <v/>
      </c>
    </row>
    <row r="28" spans="1:35">
      <c r="A28" s="636" t="s">
        <v>179</v>
      </c>
      <c r="B28" s="637" t="s">
        <v>559</v>
      </c>
      <c r="C28" s="652"/>
      <c r="D28" s="652"/>
      <c r="E28" s="652"/>
      <c r="F28" s="653"/>
      <c r="G28" s="653"/>
      <c r="H28" s="653"/>
      <c r="I28" s="653"/>
      <c r="J28" s="653"/>
      <c r="K28" s="653"/>
      <c r="L28" s="653"/>
      <c r="M28" s="653"/>
      <c r="N28" s="653"/>
      <c r="O28" s="653"/>
      <c r="P28" s="639">
        <f t="shared" si="9"/>
        <v>0</v>
      </c>
      <c r="Q28" s="833">
        <f t="shared" si="10"/>
        <v>0</v>
      </c>
      <c r="R28" s="653"/>
      <c r="S28" s="653"/>
      <c r="T28" s="653"/>
      <c r="U28" s="653"/>
      <c r="V28" s="653"/>
      <c r="W28" s="653"/>
      <c r="X28" s="653"/>
      <c r="Y28" s="654">
        <f t="shared" si="11"/>
        <v>0</v>
      </c>
      <c r="Z28" s="642">
        <f t="shared" si="1"/>
        <v>0</v>
      </c>
      <c r="AA28" s="640"/>
      <c r="AB28" s="640"/>
      <c r="AC28" s="640"/>
      <c r="AD28" s="640"/>
      <c r="AE28" s="643"/>
      <c r="AF28" s="644">
        <f t="shared" si="2"/>
        <v>0</v>
      </c>
      <c r="AG28" s="642">
        <f t="shared" si="3"/>
        <v>0</v>
      </c>
      <c r="AH28" s="645" t="str">
        <f t="shared" si="5"/>
        <v/>
      </c>
      <c r="AI28" s="608" t="str">
        <f>IF('Component Unit Template'!$G$2="","",'Component Unit Template'!$G$2)</f>
        <v/>
      </c>
    </row>
    <row r="29" spans="1:35">
      <c r="A29" s="636" t="s">
        <v>179</v>
      </c>
      <c r="B29" s="637" t="s">
        <v>559</v>
      </c>
      <c r="C29" s="652"/>
      <c r="D29" s="652"/>
      <c r="E29" s="652"/>
      <c r="F29" s="653"/>
      <c r="G29" s="653"/>
      <c r="H29" s="653"/>
      <c r="I29" s="653"/>
      <c r="J29" s="653"/>
      <c r="K29" s="653"/>
      <c r="L29" s="653"/>
      <c r="M29" s="653"/>
      <c r="N29" s="653"/>
      <c r="O29" s="653"/>
      <c r="P29" s="639">
        <f t="shared" si="9"/>
        <v>0</v>
      </c>
      <c r="Q29" s="833">
        <f t="shared" si="10"/>
        <v>0</v>
      </c>
      <c r="R29" s="653"/>
      <c r="S29" s="653"/>
      <c r="T29" s="653"/>
      <c r="U29" s="653"/>
      <c r="V29" s="653"/>
      <c r="W29" s="653"/>
      <c r="X29" s="653"/>
      <c r="Y29" s="654">
        <f t="shared" si="11"/>
        <v>0</v>
      </c>
      <c r="Z29" s="642">
        <f t="shared" si="1"/>
        <v>0</v>
      </c>
      <c r="AA29" s="640"/>
      <c r="AB29" s="640"/>
      <c r="AC29" s="640"/>
      <c r="AD29" s="640"/>
      <c r="AE29" s="643"/>
      <c r="AF29" s="644">
        <f t="shared" si="2"/>
        <v>0</v>
      </c>
      <c r="AG29" s="642">
        <f t="shared" si="3"/>
        <v>0</v>
      </c>
      <c r="AH29" s="645" t="str">
        <f t="shared" si="5"/>
        <v/>
      </c>
      <c r="AI29" s="608" t="str">
        <f>IF('Component Unit Template'!$G$2="","",'Component Unit Template'!$G$2)</f>
        <v/>
      </c>
    </row>
    <row r="30" spans="1:35">
      <c r="A30" s="636" t="s">
        <v>179</v>
      </c>
      <c r="B30" s="637" t="s">
        <v>559</v>
      </c>
      <c r="C30" s="652"/>
      <c r="D30" s="652"/>
      <c r="E30" s="652"/>
      <c r="F30" s="653"/>
      <c r="G30" s="653"/>
      <c r="H30" s="653"/>
      <c r="I30" s="653"/>
      <c r="J30" s="653"/>
      <c r="K30" s="653"/>
      <c r="L30" s="653"/>
      <c r="M30" s="653"/>
      <c r="N30" s="653"/>
      <c r="O30" s="653"/>
      <c r="P30" s="639">
        <f t="shared" si="9"/>
        <v>0</v>
      </c>
      <c r="Q30" s="833">
        <f t="shared" si="10"/>
        <v>0</v>
      </c>
      <c r="R30" s="653"/>
      <c r="S30" s="653"/>
      <c r="T30" s="653"/>
      <c r="U30" s="653"/>
      <c r="V30" s="653"/>
      <c r="W30" s="653"/>
      <c r="X30" s="653"/>
      <c r="Y30" s="654">
        <f t="shared" si="11"/>
        <v>0</v>
      </c>
      <c r="Z30" s="642">
        <f t="shared" si="1"/>
        <v>0</v>
      </c>
      <c r="AA30" s="640"/>
      <c r="AB30" s="640"/>
      <c r="AC30" s="640"/>
      <c r="AD30" s="640"/>
      <c r="AE30" s="643"/>
      <c r="AF30" s="644">
        <f t="shared" si="2"/>
        <v>0</v>
      </c>
      <c r="AG30" s="642">
        <f t="shared" si="3"/>
        <v>0</v>
      </c>
      <c r="AH30" s="645" t="str">
        <f t="shared" si="5"/>
        <v/>
      </c>
      <c r="AI30" s="608" t="str">
        <f>IF('Component Unit Template'!$G$2="","",'Component Unit Template'!$G$2)</f>
        <v/>
      </c>
    </row>
    <row r="31" spans="1:35">
      <c r="A31" s="636"/>
      <c r="B31" s="608"/>
      <c r="C31" s="646"/>
      <c r="D31" s="608"/>
      <c r="E31" s="608"/>
      <c r="F31" s="608"/>
      <c r="G31" s="608"/>
      <c r="H31" s="608"/>
      <c r="I31" s="608"/>
      <c r="J31" s="608"/>
      <c r="K31" s="608"/>
      <c r="L31" s="608"/>
      <c r="M31" s="608"/>
      <c r="N31" s="608"/>
      <c r="O31" s="647"/>
      <c r="P31" s="608"/>
      <c r="Q31" s="608"/>
      <c r="R31" s="648"/>
      <c r="S31" s="648"/>
      <c r="T31" s="648"/>
      <c r="U31" s="648"/>
      <c r="V31" s="648"/>
      <c r="W31" s="648"/>
      <c r="X31" s="648"/>
      <c r="Y31" s="649"/>
      <c r="Z31" s="650"/>
      <c r="AA31" s="648"/>
      <c r="AB31" s="648"/>
      <c r="AC31" s="648"/>
      <c r="AD31" s="648"/>
      <c r="AE31" s="651"/>
      <c r="AF31" s="608"/>
      <c r="AG31" s="650"/>
      <c r="AH31" s="645"/>
      <c r="AI31" s="608"/>
    </row>
    <row r="32" spans="1:35">
      <c r="A32" s="636" t="s">
        <v>179</v>
      </c>
      <c r="B32" s="637" t="s">
        <v>561</v>
      </c>
      <c r="C32" s="652"/>
      <c r="D32" s="652"/>
      <c r="E32" s="652"/>
      <c r="F32" s="653"/>
      <c r="G32" s="653"/>
      <c r="H32" s="653"/>
      <c r="I32" s="653"/>
      <c r="J32" s="653"/>
      <c r="K32" s="653"/>
      <c r="L32" s="653"/>
      <c r="M32" s="653"/>
      <c r="N32" s="653"/>
      <c r="O32" s="653"/>
      <c r="P32" s="639">
        <f t="shared" ref="P32:P36" si="12">IF(SUM(F32:O32)=SUM(R32:U32),SUM(F32:O32))</f>
        <v>0</v>
      </c>
      <c r="Q32" s="833">
        <f t="shared" ref="Q32:Q36" si="13">SUM(F32:O32)-SUM(R32:U32)</f>
        <v>0</v>
      </c>
      <c r="R32" s="653"/>
      <c r="S32" s="653"/>
      <c r="T32" s="653"/>
      <c r="U32" s="653"/>
      <c r="V32" s="653"/>
      <c r="W32" s="653"/>
      <c r="X32" s="653"/>
      <c r="Y32" s="654">
        <f t="shared" si="0"/>
        <v>0</v>
      </c>
      <c r="Z32" s="642">
        <f t="shared" si="1"/>
        <v>0</v>
      </c>
      <c r="AA32" s="640"/>
      <c r="AB32" s="640"/>
      <c r="AC32" s="640"/>
      <c r="AD32" s="640"/>
      <c r="AE32" s="643"/>
      <c r="AF32" s="644">
        <f t="shared" si="2"/>
        <v>0</v>
      </c>
      <c r="AG32" s="642">
        <f t="shared" si="3"/>
        <v>0</v>
      </c>
      <c r="AH32" s="645" t="str">
        <f t="shared" si="5"/>
        <v/>
      </c>
      <c r="AI32" s="608" t="str">
        <f>IF('Component Unit Template'!$G$2="","",'Component Unit Template'!$G$2)</f>
        <v/>
      </c>
    </row>
    <row r="33" spans="1:35">
      <c r="A33" s="636" t="s">
        <v>179</v>
      </c>
      <c r="B33" s="637" t="s">
        <v>561</v>
      </c>
      <c r="C33" s="652"/>
      <c r="D33" s="652"/>
      <c r="E33" s="652"/>
      <c r="F33" s="653"/>
      <c r="G33" s="653"/>
      <c r="H33" s="653"/>
      <c r="I33" s="653"/>
      <c r="J33" s="653"/>
      <c r="K33" s="653"/>
      <c r="L33" s="653"/>
      <c r="M33" s="653"/>
      <c r="N33" s="653"/>
      <c r="O33" s="653"/>
      <c r="P33" s="639">
        <f t="shared" si="12"/>
        <v>0</v>
      </c>
      <c r="Q33" s="833">
        <f t="shared" si="13"/>
        <v>0</v>
      </c>
      <c r="R33" s="653"/>
      <c r="S33" s="653"/>
      <c r="T33" s="653"/>
      <c r="U33" s="653"/>
      <c r="V33" s="653"/>
      <c r="W33" s="653"/>
      <c r="X33" s="653"/>
      <c r="Y33" s="654">
        <f t="shared" ref="Y33:Y36" si="14">IF(SUM(R33:U33)=SUM(V33:X33), SUM(V33:X33),"Error")</f>
        <v>0</v>
      </c>
      <c r="Z33" s="642">
        <f t="shared" si="1"/>
        <v>0</v>
      </c>
      <c r="AA33" s="640"/>
      <c r="AB33" s="640"/>
      <c r="AC33" s="640"/>
      <c r="AD33" s="640"/>
      <c r="AE33" s="643"/>
      <c r="AF33" s="644">
        <f t="shared" si="2"/>
        <v>0</v>
      </c>
      <c r="AG33" s="642">
        <f t="shared" si="3"/>
        <v>0</v>
      </c>
      <c r="AH33" s="645" t="str">
        <f t="shared" si="5"/>
        <v/>
      </c>
      <c r="AI33" s="608" t="str">
        <f>IF('Component Unit Template'!$G$2="","",'Component Unit Template'!$G$2)</f>
        <v/>
      </c>
    </row>
    <row r="34" spans="1:35">
      <c r="A34" s="636" t="s">
        <v>179</v>
      </c>
      <c r="B34" s="637" t="s">
        <v>561</v>
      </c>
      <c r="C34" s="652"/>
      <c r="D34" s="652"/>
      <c r="E34" s="652"/>
      <c r="F34" s="653"/>
      <c r="G34" s="653"/>
      <c r="H34" s="653"/>
      <c r="I34" s="653"/>
      <c r="J34" s="653"/>
      <c r="K34" s="653"/>
      <c r="L34" s="653"/>
      <c r="M34" s="653"/>
      <c r="N34" s="653"/>
      <c r="O34" s="653"/>
      <c r="P34" s="639">
        <f t="shared" si="12"/>
        <v>0</v>
      </c>
      <c r="Q34" s="833">
        <f t="shared" si="13"/>
        <v>0</v>
      </c>
      <c r="R34" s="653"/>
      <c r="S34" s="653"/>
      <c r="T34" s="653"/>
      <c r="U34" s="653"/>
      <c r="V34" s="653"/>
      <c r="W34" s="653"/>
      <c r="X34" s="653"/>
      <c r="Y34" s="654">
        <f t="shared" si="14"/>
        <v>0</v>
      </c>
      <c r="Z34" s="642">
        <f t="shared" si="1"/>
        <v>0</v>
      </c>
      <c r="AA34" s="640"/>
      <c r="AB34" s="640"/>
      <c r="AC34" s="640"/>
      <c r="AD34" s="640"/>
      <c r="AE34" s="643"/>
      <c r="AF34" s="644">
        <f t="shared" si="2"/>
        <v>0</v>
      </c>
      <c r="AG34" s="642">
        <f t="shared" si="3"/>
        <v>0</v>
      </c>
      <c r="AH34" s="645" t="str">
        <f t="shared" si="5"/>
        <v/>
      </c>
      <c r="AI34" s="608" t="str">
        <f>IF('Component Unit Template'!$G$2="","",'Component Unit Template'!$G$2)</f>
        <v/>
      </c>
    </row>
    <row r="35" spans="1:35">
      <c r="A35" s="636" t="s">
        <v>179</v>
      </c>
      <c r="B35" s="637" t="s">
        <v>561</v>
      </c>
      <c r="C35" s="652"/>
      <c r="D35" s="652"/>
      <c r="E35" s="652"/>
      <c r="F35" s="653"/>
      <c r="G35" s="653"/>
      <c r="H35" s="653"/>
      <c r="I35" s="653"/>
      <c r="J35" s="653"/>
      <c r="K35" s="653"/>
      <c r="L35" s="653"/>
      <c r="M35" s="653"/>
      <c r="N35" s="653"/>
      <c r="O35" s="653"/>
      <c r="P35" s="639">
        <f t="shared" si="12"/>
        <v>0</v>
      </c>
      <c r="Q35" s="833">
        <f t="shared" si="13"/>
        <v>0</v>
      </c>
      <c r="R35" s="653"/>
      <c r="S35" s="653"/>
      <c r="T35" s="653"/>
      <c r="U35" s="653"/>
      <c r="V35" s="653"/>
      <c r="W35" s="653"/>
      <c r="X35" s="653"/>
      <c r="Y35" s="654">
        <f t="shared" si="14"/>
        <v>0</v>
      </c>
      <c r="Z35" s="642">
        <f t="shared" si="1"/>
        <v>0</v>
      </c>
      <c r="AA35" s="640"/>
      <c r="AB35" s="640"/>
      <c r="AC35" s="640"/>
      <c r="AD35" s="640"/>
      <c r="AE35" s="643"/>
      <c r="AF35" s="644">
        <f t="shared" si="2"/>
        <v>0</v>
      </c>
      <c r="AG35" s="642">
        <f t="shared" si="3"/>
        <v>0</v>
      </c>
      <c r="AH35" s="645" t="str">
        <f t="shared" si="5"/>
        <v/>
      </c>
      <c r="AI35" s="608" t="str">
        <f>IF('Component Unit Template'!$G$2="","",'Component Unit Template'!$G$2)</f>
        <v/>
      </c>
    </row>
    <row r="36" spans="1:35">
      <c r="A36" s="636" t="s">
        <v>179</v>
      </c>
      <c r="B36" s="637" t="s">
        <v>561</v>
      </c>
      <c r="C36" s="652"/>
      <c r="D36" s="652"/>
      <c r="E36" s="652"/>
      <c r="F36" s="653"/>
      <c r="G36" s="653"/>
      <c r="H36" s="653"/>
      <c r="I36" s="653"/>
      <c r="J36" s="653"/>
      <c r="K36" s="653"/>
      <c r="L36" s="653"/>
      <c r="M36" s="653"/>
      <c r="N36" s="653"/>
      <c r="O36" s="653"/>
      <c r="P36" s="639">
        <f t="shared" si="12"/>
        <v>0</v>
      </c>
      <c r="Q36" s="833">
        <f t="shared" si="13"/>
        <v>0</v>
      </c>
      <c r="R36" s="653"/>
      <c r="S36" s="653"/>
      <c r="T36" s="653"/>
      <c r="U36" s="653"/>
      <c r="V36" s="653"/>
      <c r="W36" s="653"/>
      <c r="X36" s="653"/>
      <c r="Y36" s="654">
        <f t="shared" si="14"/>
        <v>0</v>
      </c>
      <c r="Z36" s="642">
        <f t="shared" si="1"/>
        <v>0</v>
      </c>
      <c r="AA36" s="640"/>
      <c r="AB36" s="640"/>
      <c r="AC36" s="640"/>
      <c r="AD36" s="640"/>
      <c r="AE36" s="643"/>
      <c r="AF36" s="644">
        <f t="shared" si="2"/>
        <v>0</v>
      </c>
      <c r="AG36" s="642">
        <f t="shared" si="3"/>
        <v>0</v>
      </c>
      <c r="AH36" s="645" t="str">
        <f t="shared" si="5"/>
        <v/>
      </c>
      <c r="AI36" s="608" t="str">
        <f>IF('Component Unit Template'!$G$2="","",'Component Unit Template'!$G$2)</f>
        <v/>
      </c>
    </row>
    <row r="37" spans="1:35">
      <c r="A37" s="636"/>
      <c r="B37" s="608"/>
      <c r="C37" s="646"/>
      <c r="D37" s="608"/>
      <c r="E37" s="608"/>
      <c r="F37" s="608"/>
      <c r="G37" s="608"/>
      <c r="H37" s="608"/>
      <c r="I37" s="608"/>
      <c r="J37" s="608"/>
      <c r="K37" s="608"/>
      <c r="L37" s="608"/>
      <c r="M37" s="608"/>
      <c r="N37" s="608"/>
      <c r="O37" s="647"/>
      <c r="P37" s="608"/>
      <c r="Q37" s="608"/>
      <c r="R37" s="648"/>
      <c r="S37" s="648"/>
      <c r="T37" s="648"/>
      <c r="U37" s="648"/>
      <c r="V37" s="616"/>
      <c r="W37" s="616"/>
      <c r="X37" s="648"/>
      <c r="Y37" s="649"/>
      <c r="Z37" s="650"/>
      <c r="AA37" s="648"/>
      <c r="AB37" s="648"/>
      <c r="AC37" s="648"/>
      <c r="AD37" s="648"/>
      <c r="AE37" s="651"/>
      <c r="AF37" s="608"/>
      <c r="AG37" s="650"/>
      <c r="AH37" s="645"/>
      <c r="AI37" s="608"/>
    </row>
    <row r="38" spans="1:35">
      <c r="A38" s="636" t="s">
        <v>179</v>
      </c>
      <c r="B38" s="637" t="s">
        <v>562</v>
      </c>
      <c r="C38" s="652"/>
      <c r="D38" s="652"/>
      <c r="E38" s="652"/>
      <c r="F38" s="653"/>
      <c r="G38" s="653"/>
      <c r="H38" s="653"/>
      <c r="I38" s="653"/>
      <c r="J38" s="653"/>
      <c r="K38" s="653"/>
      <c r="L38" s="653"/>
      <c r="M38" s="653"/>
      <c r="N38" s="653"/>
      <c r="O38" s="653"/>
      <c r="P38" s="639">
        <f t="shared" ref="P38:P42" si="15">IF(SUM(F38:O38)=SUM(R38:U38),SUM(F38:O38))</f>
        <v>0</v>
      </c>
      <c r="Q38" s="833">
        <f t="shared" ref="Q38:Q42" si="16">SUM(F38:O38)-SUM(R38:U38)</f>
        <v>0</v>
      </c>
      <c r="R38" s="653"/>
      <c r="S38" s="653"/>
      <c r="T38" s="653"/>
      <c r="U38" s="653"/>
      <c r="V38" s="639"/>
      <c r="W38" s="655"/>
      <c r="X38" s="653"/>
      <c r="Y38" s="654">
        <f t="shared" si="0"/>
        <v>0</v>
      </c>
      <c r="Z38" s="642">
        <f t="shared" si="1"/>
        <v>0</v>
      </c>
      <c r="AA38" s="640"/>
      <c r="AB38" s="640"/>
      <c r="AC38" s="640"/>
      <c r="AD38" s="640"/>
      <c r="AE38" s="643"/>
      <c r="AF38" s="644">
        <f t="shared" si="2"/>
        <v>0</v>
      </c>
      <c r="AG38" s="642">
        <f t="shared" si="3"/>
        <v>0</v>
      </c>
      <c r="AH38" s="645" t="str">
        <f t="shared" si="5"/>
        <v/>
      </c>
      <c r="AI38" s="608" t="str">
        <f>IF('Component Unit Template'!$G$2="","",'Component Unit Template'!$G$2)</f>
        <v/>
      </c>
    </row>
    <row r="39" spans="1:35">
      <c r="A39" s="636" t="s">
        <v>179</v>
      </c>
      <c r="B39" s="637" t="s">
        <v>562</v>
      </c>
      <c r="C39" s="652"/>
      <c r="D39" s="652"/>
      <c r="E39" s="652"/>
      <c r="F39" s="653"/>
      <c r="G39" s="653"/>
      <c r="H39" s="653"/>
      <c r="I39" s="653"/>
      <c r="J39" s="653"/>
      <c r="K39" s="653"/>
      <c r="L39" s="653"/>
      <c r="M39" s="653"/>
      <c r="N39" s="653"/>
      <c r="O39" s="653"/>
      <c r="P39" s="639">
        <f t="shared" si="15"/>
        <v>0</v>
      </c>
      <c r="Q39" s="833">
        <f t="shared" si="16"/>
        <v>0</v>
      </c>
      <c r="R39" s="653"/>
      <c r="S39" s="653"/>
      <c r="T39" s="653"/>
      <c r="U39" s="653"/>
      <c r="V39" s="639"/>
      <c r="W39" s="655"/>
      <c r="X39" s="653"/>
      <c r="Y39" s="654">
        <f t="shared" ref="Y39:Y42" si="17">IF(SUM(R39:U39)=SUM(V39:X39), SUM(V39:X39),"Error")</f>
        <v>0</v>
      </c>
      <c r="Z39" s="642">
        <f t="shared" si="1"/>
        <v>0</v>
      </c>
      <c r="AA39" s="640"/>
      <c r="AB39" s="640"/>
      <c r="AC39" s="640"/>
      <c r="AD39" s="640"/>
      <c r="AE39" s="643"/>
      <c r="AF39" s="644">
        <f t="shared" si="2"/>
        <v>0</v>
      </c>
      <c r="AG39" s="642">
        <f t="shared" si="3"/>
        <v>0</v>
      </c>
      <c r="AH39" s="645" t="str">
        <f t="shared" si="5"/>
        <v/>
      </c>
      <c r="AI39" s="608" t="str">
        <f>IF('Component Unit Template'!$G$2="","",'Component Unit Template'!$G$2)</f>
        <v/>
      </c>
    </row>
    <row r="40" spans="1:35">
      <c r="A40" s="636" t="s">
        <v>179</v>
      </c>
      <c r="B40" s="637" t="s">
        <v>562</v>
      </c>
      <c r="C40" s="652"/>
      <c r="D40" s="652"/>
      <c r="E40" s="652"/>
      <c r="F40" s="653"/>
      <c r="G40" s="653"/>
      <c r="H40" s="653"/>
      <c r="I40" s="653"/>
      <c r="J40" s="653"/>
      <c r="K40" s="653"/>
      <c r="L40" s="653"/>
      <c r="M40" s="653"/>
      <c r="N40" s="653"/>
      <c r="O40" s="653"/>
      <c r="P40" s="639">
        <f t="shared" si="15"/>
        <v>0</v>
      </c>
      <c r="Q40" s="833">
        <f t="shared" si="16"/>
        <v>0</v>
      </c>
      <c r="R40" s="653"/>
      <c r="S40" s="653"/>
      <c r="T40" s="653"/>
      <c r="U40" s="653"/>
      <c r="V40" s="639"/>
      <c r="W40" s="655"/>
      <c r="X40" s="653"/>
      <c r="Y40" s="654">
        <f t="shared" si="17"/>
        <v>0</v>
      </c>
      <c r="Z40" s="642">
        <f t="shared" si="1"/>
        <v>0</v>
      </c>
      <c r="AA40" s="640"/>
      <c r="AB40" s="640"/>
      <c r="AC40" s="640"/>
      <c r="AD40" s="640"/>
      <c r="AE40" s="643"/>
      <c r="AF40" s="644">
        <f t="shared" si="2"/>
        <v>0</v>
      </c>
      <c r="AG40" s="642">
        <f t="shared" si="3"/>
        <v>0</v>
      </c>
      <c r="AH40" s="645" t="str">
        <f t="shared" si="5"/>
        <v/>
      </c>
      <c r="AI40" s="608" t="str">
        <f>IF('Component Unit Template'!$G$2="","",'Component Unit Template'!$G$2)</f>
        <v/>
      </c>
    </row>
    <row r="41" spans="1:35">
      <c r="A41" s="636" t="s">
        <v>179</v>
      </c>
      <c r="B41" s="637" t="s">
        <v>562</v>
      </c>
      <c r="C41" s="652"/>
      <c r="D41" s="652"/>
      <c r="E41" s="652"/>
      <c r="F41" s="653"/>
      <c r="G41" s="653"/>
      <c r="H41" s="653"/>
      <c r="I41" s="653"/>
      <c r="J41" s="653"/>
      <c r="K41" s="653"/>
      <c r="L41" s="653"/>
      <c r="M41" s="653"/>
      <c r="N41" s="653"/>
      <c r="O41" s="653"/>
      <c r="P41" s="639">
        <f t="shared" si="15"/>
        <v>0</v>
      </c>
      <c r="Q41" s="833">
        <f t="shared" si="16"/>
        <v>0</v>
      </c>
      <c r="R41" s="653"/>
      <c r="S41" s="653"/>
      <c r="T41" s="653"/>
      <c r="U41" s="653"/>
      <c r="V41" s="639"/>
      <c r="W41" s="655"/>
      <c r="X41" s="653"/>
      <c r="Y41" s="654">
        <f t="shared" si="17"/>
        <v>0</v>
      </c>
      <c r="Z41" s="642">
        <f t="shared" si="1"/>
        <v>0</v>
      </c>
      <c r="AA41" s="640"/>
      <c r="AB41" s="640"/>
      <c r="AC41" s="640"/>
      <c r="AD41" s="640"/>
      <c r="AE41" s="643"/>
      <c r="AF41" s="644">
        <f t="shared" si="2"/>
        <v>0</v>
      </c>
      <c r="AG41" s="642">
        <f t="shared" si="3"/>
        <v>0</v>
      </c>
      <c r="AH41" s="645" t="str">
        <f t="shared" si="5"/>
        <v/>
      </c>
      <c r="AI41" s="608" t="str">
        <f>IF('Component Unit Template'!$G$2="","",'Component Unit Template'!$G$2)</f>
        <v/>
      </c>
    </row>
    <row r="42" spans="1:35">
      <c r="A42" s="636" t="s">
        <v>179</v>
      </c>
      <c r="B42" s="637" t="s">
        <v>562</v>
      </c>
      <c r="C42" s="652"/>
      <c r="D42" s="652"/>
      <c r="E42" s="652"/>
      <c r="F42" s="653"/>
      <c r="G42" s="653"/>
      <c r="H42" s="653"/>
      <c r="I42" s="653"/>
      <c r="J42" s="653"/>
      <c r="K42" s="653"/>
      <c r="L42" s="653"/>
      <c r="M42" s="653"/>
      <c r="N42" s="653"/>
      <c r="O42" s="653"/>
      <c r="P42" s="639">
        <f t="shared" si="15"/>
        <v>0</v>
      </c>
      <c r="Q42" s="833">
        <f t="shared" si="16"/>
        <v>0</v>
      </c>
      <c r="R42" s="653"/>
      <c r="S42" s="653"/>
      <c r="T42" s="653"/>
      <c r="U42" s="653"/>
      <c r="V42" s="639"/>
      <c r="W42" s="655"/>
      <c r="X42" s="653"/>
      <c r="Y42" s="654">
        <f t="shared" si="17"/>
        <v>0</v>
      </c>
      <c r="Z42" s="642">
        <f t="shared" si="1"/>
        <v>0</v>
      </c>
      <c r="AA42" s="640"/>
      <c r="AB42" s="640"/>
      <c r="AC42" s="640"/>
      <c r="AD42" s="640"/>
      <c r="AE42" s="643"/>
      <c r="AF42" s="644">
        <f t="shared" si="2"/>
        <v>0</v>
      </c>
      <c r="AG42" s="642">
        <f t="shared" si="3"/>
        <v>0</v>
      </c>
      <c r="AH42" s="645" t="str">
        <f t="shared" si="5"/>
        <v/>
      </c>
      <c r="AI42" s="608" t="str">
        <f>IF('Component Unit Template'!$G$2="","",'Component Unit Template'!$G$2)</f>
        <v/>
      </c>
    </row>
    <row r="43" spans="1:35">
      <c r="A43" s="636"/>
      <c r="B43" s="608"/>
      <c r="C43" s="646"/>
      <c r="D43" s="608"/>
      <c r="E43" s="608"/>
      <c r="F43" s="608"/>
      <c r="G43" s="608"/>
      <c r="H43" s="608"/>
      <c r="I43" s="608"/>
      <c r="J43" s="608"/>
      <c r="K43" s="608"/>
      <c r="L43" s="608"/>
      <c r="M43" s="608"/>
      <c r="N43" s="608"/>
      <c r="O43" s="647"/>
      <c r="P43" s="608"/>
      <c r="Q43" s="608"/>
      <c r="R43" s="648"/>
      <c r="S43" s="648"/>
      <c r="T43" s="648"/>
      <c r="U43" s="648"/>
      <c r="V43" s="656"/>
      <c r="W43" s="656"/>
      <c r="X43" s="648"/>
      <c r="Y43" s="649"/>
      <c r="Z43" s="650"/>
      <c r="AA43" s="648"/>
      <c r="AB43" s="648"/>
      <c r="AC43" s="648"/>
      <c r="AD43" s="648"/>
      <c r="AE43" s="651"/>
      <c r="AF43" s="608"/>
      <c r="AG43" s="650"/>
      <c r="AH43" s="645"/>
      <c r="AI43" s="608"/>
    </row>
    <row r="44" spans="1:35">
      <c r="A44" s="636" t="s">
        <v>179</v>
      </c>
      <c r="B44" s="637" t="s">
        <v>563</v>
      </c>
      <c r="C44" s="652"/>
      <c r="D44" s="652"/>
      <c r="E44" s="652"/>
      <c r="F44" s="653"/>
      <c r="G44" s="653"/>
      <c r="H44" s="653"/>
      <c r="I44" s="653"/>
      <c r="J44" s="653"/>
      <c r="K44" s="653"/>
      <c r="L44" s="653"/>
      <c r="M44" s="653"/>
      <c r="N44" s="653"/>
      <c r="O44" s="653"/>
      <c r="P44" s="639">
        <f t="shared" ref="P44:P48" si="18">IF(SUM(F44:O44)=SUM(R44:U44),SUM(F44:O44))</f>
        <v>0</v>
      </c>
      <c r="Q44" s="833">
        <f t="shared" ref="Q44:Q48" si="19">SUM(F44:O44)-SUM(R44:U44)</f>
        <v>0</v>
      </c>
      <c r="R44" s="653"/>
      <c r="S44" s="653"/>
      <c r="T44" s="653"/>
      <c r="U44" s="653"/>
      <c r="V44" s="653"/>
      <c r="W44" s="653"/>
      <c r="X44" s="653"/>
      <c r="Y44" s="654">
        <f t="shared" si="0"/>
        <v>0</v>
      </c>
      <c r="Z44" s="642">
        <f t="shared" si="1"/>
        <v>0</v>
      </c>
      <c r="AA44" s="640"/>
      <c r="AB44" s="640"/>
      <c r="AC44" s="640"/>
      <c r="AD44" s="640"/>
      <c r="AE44" s="643"/>
      <c r="AF44" s="644">
        <f t="shared" si="2"/>
        <v>0</v>
      </c>
      <c r="AG44" s="642">
        <f t="shared" si="3"/>
        <v>0</v>
      </c>
      <c r="AH44" s="645" t="str">
        <f t="shared" si="5"/>
        <v/>
      </c>
      <c r="AI44" s="608" t="str">
        <f>IF('Component Unit Template'!$G$2="","",'Component Unit Template'!$G$2)</f>
        <v/>
      </c>
    </row>
    <row r="45" spans="1:35">
      <c r="A45" s="636" t="s">
        <v>179</v>
      </c>
      <c r="B45" s="637" t="s">
        <v>563</v>
      </c>
      <c r="C45" s="652"/>
      <c r="D45" s="652"/>
      <c r="E45" s="652"/>
      <c r="F45" s="653"/>
      <c r="G45" s="653"/>
      <c r="H45" s="653"/>
      <c r="I45" s="653"/>
      <c r="J45" s="653"/>
      <c r="K45" s="653"/>
      <c r="L45" s="653"/>
      <c r="M45" s="653"/>
      <c r="N45" s="653"/>
      <c r="O45" s="653"/>
      <c r="P45" s="639">
        <f t="shared" si="18"/>
        <v>0</v>
      </c>
      <c r="Q45" s="833">
        <f t="shared" si="19"/>
        <v>0</v>
      </c>
      <c r="R45" s="653"/>
      <c r="S45" s="653"/>
      <c r="T45" s="653"/>
      <c r="U45" s="653"/>
      <c r="V45" s="653"/>
      <c r="W45" s="653"/>
      <c r="X45" s="653"/>
      <c r="Y45" s="654">
        <f t="shared" ref="Y45:Y48" si="20">IF(SUM(R45:U45)=SUM(V45:X45), SUM(V45:X45),"Error")</f>
        <v>0</v>
      </c>
      <c r="Z45" s="642">
        <f t="shared" si="1"/>
        <v>0</v>
      </c>
      <c r="AA45" s="640"/>
      <c r="AB45" s="640"/>
      <c r="AC45" s="640"/>
      <c r="AD45" s="640"/>
      <c r="AE45" s="643"/>
      <c r="AF45" s="644">
        <f t="shared" si="2"/>
        <v>0</v>
      </c>
      <c r="AG45" s="642">
        <f t="shared" si="3"/>
        <v>0</v>
      </c>
      <c r="AH45" s="645" t="str">
        <f t="shared" si="5"/>
        <v/>
      </c>
      <c r="AI45" s="608" t="str">
        <f>IF('Component Unit Template'!$G$2="","",'Component Unit Template'!$G$2)</f>
        <v/>
      </c>
    </row>
    <row r="46" spans="1:35">
      <c r="A46" s="636" t="s">
        <v>179</v>
      </c>
      <c r="B46" s="637" t="s">
        <v>563</v>
      </c>
      <c r="C46" s="652"/>
      <c r="D46" s="652"/>
      <c r="E46" s="652"/>
      <c r="F46" s="653"/>
      <c r="G46" s="653"/>
      <c r="H46" s="653"/>
      <c r="I46" s="653"/>
      <c r="J46" s="653"/>
      <c r="K46" s="653"/>
      <c r="L46" s="653"/>
      <c r="M46" s="653"/>
      <c r="N46" s="653"/>
      <c r="O46" s="653"/>
      <c r="P46" s="639">
        <f t="shared" si="18"/>
        <v>0</v>
      </c>
      <c r="Q46" s="833">
        <f t="shared" si="19"/>
        <v>0</v>
      </c>
      <c r="R46" s="653"/>
      <c r="S46" s="653"/>
      <c r="T46" s="653"/>
      <c r="U46" s="653"/>
      <c r="V46" s="653"/>
      <c r="W46" s="653"/>
      <c r="X46" s="653"/>
      <c r="Y46" s="654">
        <f t="shared" si="20"/>
        <v>0</v>
      </c>
      <c r="Z46" s="642">
        <f t="shared" si="1"/>
        <v>0</v>
      </c>
      <c r="AA46" s="640"/>
      <c r="AB46" s="640"/>
      <c r="AC46" s="640"/>
      <c r="AD46" s="640"/>
      <c r="AE46" s="643"/>
      <c r="AF46" s="644">
        <f t="shared" si="2"/>
        <v>0</v>
      </c>
      <c r="AG46" s="642">
        <f t="shared" si="3"/>
        <v>0</v>
      </c>
      <c r="AH46" s="645" t="str">
        <f t="shared" si="5"/>
        <v/>
      </c>
      <c r="AI46" s="608" t="str">
        <f>IF('Component Unit Template'!$G$2="","",'Component Unit Template'!$G$2)</f>
        <v/>
      </c>
    </row>
    <row r="47" spans="1:35">
      <c r="A47" s="636" t="s">
        <v>179</v>
      </c>
      <c r="B47" s="637" t="s">
        <v>563</v>
      </c>
      <c r="C47" s="652"/>
      <c r="D47" s="652"/>
      <c r="E47" s="652"/>
      <c r="F47" s="653"/>
      <c r="G47" s="653"/>
      <c r="H47" s="653"/>
      <c r="I47" s="653"/>
      <c r="J47" s="653"/>
      <c r="K47" s="653"/>
      <c r="L47" s="653"/>
      <c r="M47" s="653"/>
      <c r="N47" s="653"/>
      <c r="O47" s="653"/>
      <c r="P47" s="639">
        <f t="shared" si="18"/>
        <v>0</v>
      </c>
      <c r="Q47" s="833">
        <f t="shared" si="19"/>
        <v>0</v>
      </c>
      <c r="R47" s="653"/>
      <c r="S47" s="653"/>
      <c r="T47" s="653"/>
      <c r="U47" s="653"/>
      <c r="V47" s="653"/>
      <c r="W47" s="653"/>
      <c r="X47" s="653"/>
      <c r="Y47" s="654">
        <f t="shared" si="20"/>
        <v>0</v>
      </c>
      <c r="Z47" s="642">
        <f t="shared" si="1"/>
        <v>0</v>
      </c>
      <c r="AA47" s="640"/>
      <c r="AB47" s="640"/>
      <c r="AC47" s="640"/>
      <c r="AD47" s="640"/>
      <c r="AE47" s="643"/>
      <c r="AF47" s="644">
        <f t="shared" si="2"/>
        <v>0</v>
      </c>
      <c r="AG47" s="642">
        <f t="shared" si="3"/>
        <v>0</v>
      </c>
      <c r="AH47" s="645" t="str">
        <f t="shared" si="5"/>
        <v/>
      </c>
      <c r="AI47" s="608" t="str">
        <f>IF('Component Unit Template'!$G$2="","",'Component Unit Template'!$G$2)</f>
        <v/>
      </c>
    </row>
    <row r="48" spans="1:35">
      <c r="A48" s="636" t="s">
        <v>179</v>
      </c>
      <c r="B48" s="637" t="s">
        <v>563</v>
      </c>
      <c r="C48" s="652"/>
      <c r="D48" s="652"/>
      <c r="E48" s="652"/>
      <c r="F48" s="653"/>
      <c r="G48" s="653"/>
      <c r="H48" s="653"/>
      <c r="I48" s="653"/>
      <c r="J48" s="653"/>
      <c r="K48" s="653"/>
      <c r="L48" s="653"/>
      <c r="M48" s="653"/>
      <c r="N48" s="653"/>
      <c r="O48" s="653"/>
      <c r="P48" s="639">
        <f t="shared" si="18"/>
        <v>0</v>
      </c>
      <c r="Q48" s="833">
        <f t="shared" si="19"/>
        <v>0</v>
      </c>
      <c r="R48" s="653"/>
      <c r="S48" s="653"/>
      <c r="T48" s="653"/>
      <c r="U48" s="653"/>
      <c r="V48" s="653"/>
      <c r="W48" s="653"/>
      <c r="X48" s="653"/>
      <c r="Y48" s="654">
        <f t="shared" si="20"/>
        <v>0</v>
      </c>
      <c r="Z48" s="642">
        <f t="shared" si="1"/>
        <v>0</v>
      </c>
      <c r="AA48" s="640"/>
      <c r="AB48" s="640"/>
      <c r="AC48" s="640"/>
      <c r="AD48" s="640"/>
      <c r="AE48" s="643"/>
      <c r="AF48" s="644">
        <f t="shared" si="2"/>
        <v>0</v>
      </c>
      <c r="AG48" s="642">
        <f t="shared" si="3"/>
        <v>0</v>
      </c>
      <c r="AH48" s="645" t="str">
        <f t="shared" si="5"/>
        <v/>
      </c>
      <c r="AI48" s="608" t="str">
        <f>IF('Component Unit Template'!$G$2="","",'Component Unit Template'!$G$2)</f>
        <v/>
      </c>
    </row>
    <row r="49" spans="1:35">
      <c r="A49" s="636"/>
      <c r="B49" s="608"/>
      <c r="C49" s="646"/>
      <c r="D49" s="608"/>
      <c r="E49" s="608"/>
      <c r="F49" s="608"/>
      <c r="G49" s="608"/>
      <c r="H49" s="608"/>
      <c r="I49" s="608"/>
      <c r="J49" s="608"/>
      <c r="K49" s="608"/>
      <c r="L49" s="608"/>
      <c r="M49" s="608"/>
      <c r="N49" s="608"/>
      <c r="O49" s="647"/>
      <c r="P49" s="608"/>
      <c r="Q49" s="608"/>
      <c r="R49" s="648"/>
      <c r="S49" s="648"/>
      <c r="T49" s="648"/>
      <c r="U49" s="648"/>
      <c r="V49" s="648"/>
      <c r="W49" s="648"/>
      <c r="X49" s="648"/>
      <c r="Y49" s="649"/>
      <c r="Z49" s="650"/>
      <c r="AA49" s="648"/>
      <c r="AB49" s="648"/>
      <c r="AC49" s="648"/>
      <c r="AD49" s="648"/>
      <c r="AE49" s="651"/>
      <c r="AF49" s="608"/>
      <c r="AG49" s="650"/>
      <c r="AH49" s="645"/>
      <c r="AI49" s="608"/>
    </row>
    <row r="50" spans="1:35">
      <c r="A50" s="636" t="s">
        <v>179</v>
      </c>
      <c r="B50" s="637" t="s">
        <v>564</v>
      </c>
      <c r="C50" s="652"/>
      <c r="D50" s="652"/>
      <c r="E50" s="652"/>
      <c r="F50" s="653"/>
      <c r="G50" s="653"/>
      <c r="H50" s="653"/>
      <c r="I50" s="653"/>
      <c r="J50" s="653"/>
      <c r="K50" s="653"/>
      <c r="L50" s="653"/>
      <c r="M50" s="653"/>
      <c r="N50" s="653"/>
      <c r="O50" s="653"/>
      <c r="P50" s="639">
        <f t="shared" ref="P50:P54" si="21">IF(SUM(F50:O50)=SUM(R50:U50),SUM(F50:O50))</f>
        <v>0</v>
      </c>
      <c r="Q50" s="833">
        <f t="shared" ref="Q50:Q109" si="22">SUM(F50:O50)-SUM(R50:U50)</f>
        <v>0</v>
      </c>
      <c r="R50" s="653"/>
      <c r="S50" s="653"/>
      <c r="T50" s="653"/>
      <c r="U50" s="653"/>
      <c r="V50" s="653"/>
      <c r="W50" s="653"/>
      <c r="X50" s="653"/>
      <c r="Y50" s="654">
        <f t="shared" si="0"/>
        <v>0</v>
      </c>
      <c r="Z50" s="642">
        <f t="shared" si="1"/>
        <v>0</v>
      </c>
      <c r="AA50" s="640"/>
      <c r="AB50" s="640"/>
      <c r="AC50" s="640"/>
      <c r="AD50" s="640"/>
      <c r="AE50" s="643"/>
      <c r="AF50" s="644">
        <f t="shared" si="2"/>
        <v>0</v>
      </c>
      <c r="AG50" s="642">
        <f t="shared" si="3"/>
        <v>0</v>
      </c>
      <c r="AH50" s="645" t="str">
        <f t="shared" si="5"/>
        <v/>
      </c>
      <c r="AI50" s="608" t="str">
        <f>IF('Component Unit Template'!$G$2="","",'Component Unit Template'!$G$2)</f>
        <v/>
      </c>
    </row>
    <row r="51" spans="1:35">
      <c r="A51" s="636" t="s">
        <v>179</v>
      </c>
      <c r="B51" s="637" t="s">
        <v>564</v>
      </c>
      <c r="C51" s="652"/>
      <c r="D51" s="652"/>
      <c r="E51" s="652"/>
      <c r="F51" s="653"/>
      <c r="G51" s="653"/>
      <c r="H51" s="653"/>
      <c r="I51" s="653"/>
      <c r="J51" s="653"/>
      <c r="K51" s="653"/>
      <c r="L51" s="653"/>
      <c r="M51" s="653"/>
      <c r="N51" s="653"/>
      <c r="O51" s="653"/>
      <c r="P51" s="639">
        <f t="shared" si="21"/>
        <v>0</v>
      </c>
      <c r="Q51" s="833">
        <f t="shared" si="22"/>
        <v>0</v>
      </c>
      <c r="R51" s="653"/>
      <c r="S51" s="653"/>
      <c r="T51" s="653"/>
      <c r="U51" s="653"/>
      <c r="V51" s="653"/>
      <c r="W51" s="653"/>
      <c r="X51" s="653"/>
      <c r="Y51" s="654">
        <f t="shared" ref="Y51:Y54" si="23">IF(SUM(R51:U51)=SUM(V51:X51), SUM(V51:X51),"Error")</f>
        <v>0</v>
      </c>
      <c r="Z51" s="642">
        <f t="shared" si="1"/>
        <v>0</v>
      </c>
      <c r="AA51" s="640"/>
      <c r="AB51" s="640"/>
      <c r="AC51" s="640"/>
      <c r="AD51" s="640"/>
      <c r="AE51" s="643"/>
      <c r="AF51" s="644">
        <f t="shared" si="2"/>
        <v>0</v>
      </c>
      <c r="AG51" s="642">
        <f t="shared" si="3"/>
        <v>0</v>
      </c>
      <c r="AH51" s="645" t="str">
        <f t="shared" si="5"/>
        <v/>
      </c>
      <c r="AI51" s="608" t="str">
        <f>IF('Component Unit Template'!$G$2="","",'Component Unit Template'!$G$2)</f>
        <v/>
      </c>
    </row>
    <row r="52" spans="1:35">
      <c r="A52" s="636" t="s">
        <v>179</v>
      </c>
      <c r="B52" s="637" t="s">
        <v>564</v>
      </c>
      <c r="C52" s="652"/>
      <c r="D52" s="652"/>
      <c r="E52" s="652"/>
      <c r="F52" s="653"/>
      <c r="G52" s="653"/>
      <c r="H52" s="653"/>
      <c r="I52" s="653"/>
      <c r="J52" s="653"/>
      <c r="K52" s="653"/>
      <c r="L52" s="653"/>
      <c r="M52" s="653"/>
      <c r="N52" s="653"/>
      <c r="O52" s="653"/>
      <c r="P52" s="639">
        <f t="shared" si="21"/>
        <v>0</v>
      </c>
      <c r="Q52" s="833">
        <f t="shared" si="22"/>
        <v>0</v>
      </c>
      <c r="R52" s="653"/>
      <c r="S52" s="653"/>
      <c r="T52" s="653"/>
      <c r="U52" s="653"/>
      <c r="V52" s="653"/>
      <c r="W52" s="653"/>
      <c r="X52" s="653"/>
      <c r="Y52" s="654">
        <f t="shared" si="23"/>
        <v>0</v>
      </c>
      <c r="Z52" s="642">
        <f t="shared" si="1"/>
        <v>0</v>
      </c>
      <c r="AA52" s="640"/>
      <c r="AB52" s="640"/>
      <c r="AC52" s="640"/>
      <c r="AD52" s="640"/>
      <c r="AE52" s="643"/>
      <c r="AF52" s="644">
        <f t="shared" si="2"/>
        <v>0</v>
      </c>
      <c r="AG52" s="642">
        <f t="shared" si="3"/>
        <v>0</v>
      </c>
      <c r="AH52" s="645" t="str">
        <f t="shared" si="5"/>
        <v/>
      </c>
      <c r="AI52" s="608" t="str">
        <f>IF('Component Unit Template'!$G$2="","",'Component Unit Template'!$G$2)</f>
        <v/>
      </c>
    </row>
    <row r="53" spans="1:35">
      <c r="A53" s="636" t="s">
        <v>179</v>
      </c>
      <c r="B53" s="637" t="s">
        <v>564</v>
      </c>
      <c r="C53" s="652"/>
      <c r="D53" s="652"/>
      <c r="E53" s="652"/>
      <c r="F53" s="653"/>
      <c r="G53" s="653"/>
      <c r="H53" s="653"/>
      <c r="I53" s="653"/>
      <c r="J53" s="653"/>
      <c r="K53" s="653"/>
      <c r="L53" s="653"/>
      <c r="M53" s="653"/>
      <c r="N53" s="653"/>
      <c r="O53" s="653"/>
      <c r="P53" s="639">
        <f t="shared" si="21"/>
        <v>0</v>
      </c>
      <c r="Q53" s="833">
        <f t="shared" si="22"/>
        <v>0</v>
      </c>
      <c r="R53" s="653"/>
      <c r="S53" s="653"/>
      <c r="T53" s="653"/>
      <c r="U53" s="653"/>
      <c r="V53" s="653"/>
      <c r="W53" s="653"/>
      <c r="X53" s="653"/>
      <c r="Y53" s="654">
        <f t="shared" si="23"/>
        <v>0</v>
      </c>
      <c r="Z53" s="642">
        <f t="shared" si="1"/>
        <v>0</v>
      </c>
      <c r="AA53" s="640"/>
      <c r="AB53" s="640"/>
      <c r="AC53" s="640"/>
      <c r="AD53" s="640"/>
      <c r="AE53" s="643"/>
      <c r="AF53" s="644">
        <f t="shared" si="2"/>
        <v>0</v>
      </c>
      <c r="AG53" s="642">
        <f t="shared" si="3"/>
        <v>0</v>
      </c>
      <c r="AH53" s="645" t="str">
        <f t="shared" si="5"/>
        <v/>
      </c>
      <c r="AI53" s="608" t="str">
        <f>IF('Component Unit Template'!$G$2="","",'Component Unit Template'!$G$2)</f>
        <v/>
      </c>
    </row>
    <row r="54" spans="1:35">
      <c r="A54" s="636" t="s">
        <v>179</v>
      </c>
      <c r="B54" s="637" t="s">
        <v>564</v>
      </c>
      <c r="C54" s="652"/>
      <c r="D54" s="652"/>
      <c r="E54" s="652"/>
      <c r="F54" s="653"/>
      <c r="G54" s="653"/>
      <c r="H54" s="653"/>
      <c r="I54" s="653"/>
      <c r="J54" s="653"/>
      <c r="K54" s="653"/>
      <c r="L54" s="653"/>
      <c r="M54" s="653"/>
      <c r="N54" s="653"/>
      <c r="O54" s="653"/>
      <c r="P54" s="639">
        <f t="shared" si="21"/>
        <v>0</v>
      </c>
      <c r="Q54" s="833">
        <f t="shared" si="22"/>
        <v>0</v>
      </c>
      <c r="R54" s="653"/>
      <c r="S54" s="653"/>
      <c r="T54" s="653"/>
      <c r="U54" s="653"/>
      <c r="V54" s="653"/>
      <c r="W54" s="653"/>
      <c r="X54" s="653"/>
      <c r="Y54" s="654">
        <f t="shared" si="23"/>
        <v>0</v>
      </c>
      <c r="Z54" s="642">
        <f t="shared" si="1"/>
        <v>0</v>
      </c>
      <c r="AA54" s="640"/>
      <c r="AB54" s="640"/>
      <c r="AC54" s="640"/>
      <c r="AD54" s="640"/>
      <c r="AE54" s="643"/>
      <c r="AF54" s="644">
        <f t="shared" si="2"/>
        <v>0</v>
      </c>
      <c r="AG54" s="642">
        <f t="shared" si="3"/>
        <v>0</v>
      </c>
      <c r="AH54" s="645" t="str">
        <f t="shared" si="5"/>
        <v/>
      </c>
      <c r="AI54" s="608" t="str">
        <f>IF('Component Unit Template'!$G$2="","",'Component Unit Template'!$G$2)</f>
        <v/>
      </c>
    </row>
    <row r="55" spans="1:35">
      <c r="A55" s="636"/>
      <c r="B55" s="608"/>
      <c r="C55" s="646"/>
      <c r="D55" s="608"/>
      <c r="E55" s="608"/>
      <c r="F55" s="608"/>
      <c r="G55" s="608"/>
      <c r="H55" s="608"/>
      <c r="I55" s="608"/>
      <c r="J55" s="608"/>
      <c r="K55" s="608"/>
      <c r="L55" s="608"/>
      <c r="M55" s="608"/>
      <c r="N55" s="608"/>
      <c r="O55" s="647"/>
      <c r="P55" s="608"/>
      <c r="Q55" s="608"/>
      <c r="R55" s="648"/>
      <c r="S55" s="648"/>
      <c r="T55" s="648"/>
      <c r="U55" s="648"/>
      <c r="V55" s="648"/>
      <c r="W55" s="648"/>
      <c r="X55" s="648"/>
      <c r="Y55" s="649"/>
      <c r="Z55" s="650"/>
      <c r="AA55" s="648"/>
      <c r="AB55" s="648"/>
      <c r="AC55" s="648"/>
      <c r="AD55" s="648"/>
      <c r="AE55" s="651"/>
      <c r="AF55" s="608"/>
      <c r="AG55" s="650"/>
      <c r="AH55" s="645"/>
      <c r="AI55" s="608"/>
    </row>
    <row r="56" spans="1:35">
      <c r="A56" s="636" t="s">
        <v>179</v>
      </c>
      <c r="B56" s="637" t="s">
        <v>565</v>
      </c>
      <c r="C56" s="652"/>
      <c r="D56" s="652"/>
      <c r="E56" s="652"/>
      <c r="F56" s="653"/>
      <c r="G56" s="653"/>
      <c r="H56" s="653"/>
      <c r="I56" s="653"/>
      <c r="J56" s="653"/>
      <c r="K56" s="653"/>
      <c r="L56" s="653"/>
      <c r="M56" s="653"/>
      <c r="N56" s="653"/>
      <c r="O56" s="653"/>
      <c r="P56" s="639">
        <f t="shared" ref="P56:P60" si="24">IF(SUM(F56:O56)=SUM(R56:U56),SUM(F56:O56))</f>
        <v>0</v>
      </c>
      <c r="Q56" s="833">
        <f t="shared" si="22"/>
        <v>0</v>
      </c>
      <c r="R56" s="653"/>
      <c r="S56" s="653"/>
      <c r="T56" s="653"/>
      <c r="U56" s="653"/>
      <c r="V56" s="653"/>
      <c r="W56" s="653"/>
      <c r="X56" s="653"/>
      <c r="Y56" s="654">
        <f t="shared" si="0"/>
        <v>0</v>
      </c>
      <c r="Z56" s="642">
        <f t="shared" si="1"/>
        <v>0</v>
      </c>
      <c r="AA56" s="640"/>
      <c r="AB56" s="640"/>
      <c r="AC56" s="640"/>
      <c r="AD56" s="640"/>
      <c r="AE56" s="643"/>
      <c r="AF56" s="644">
        <f t="shared" si="2"/>
        <v>0</v>
      </c>
      <c r="AG56" s="642">
        <f t="shared" si="3"/>
        <v>0</v>
      </c>
      <c r="AH56" s="645" t="str">
        <f t="shared" si="5"/>
        <v/>
      </c>
      <c r="AI56" s="608" t="str">
        <f>IF('Component Unit Template'!$G$2="","",'Component Unit Template'!$G$2)</f>
        <v/>
      </c>
    </row>
    <row r="57" spans="1:35">
      <c r="A57" s="636" t="s">
        <v>179</v>
      </c>
      <c r="B57" s="637" t="s">
        <v>565</v>
      </c>
      <c r="C57" s="652"/>
      <c r="D57" s="652"/>
      <c r="E57" s="652"/>
      <c r="F57" s="653"/>
      <c r="G57" s="653"/>
      <c r="H57" s="653"/>
      <c r="I57" s="653"/>
      <c r="J57" s="653"/>
      <c r="K57" s="653"/>
      <c r="L57" s="653"/>
      <c r="M57" s="653"/>
      <c r="N57" s="653"/>
      <c r="O57" s="653"/>
      <c r="P57" s="639">
        <f t="shared" si="24"/>
        <v>0</v>
      </c>
      <c r="Q57" s="833">
        <f t="shared" si="22"/>
        <v>0</v>
      </c>
      <c r="R57" s="653"/>
      <c r="S57" s="653"/>
      <c r="T57" s="653"/>
      <c r="U57" s="653"/>
      <c r="V57" s="653"/>
      <c r="W57" s="653"/>
      <c r="X57" s="653"/>
      <c r="Y57" s="654">
        <f t="shared" ref="Y57:Y60" si="25">IF(SUM(R57:U57)=SUM(V57:X57), SUM(V57:X57),"Error")</f>
        <v>0</v>
      </c>
      <c r="Z57" s="642">
        <f t="shared" si="1"/>
        <v>0</v>
      </c>
      <c r="AA57" s="640"/>
      <c r="AB57" s="640"/>
      <c r="AC57" s="640"/>
      <c r="AD57" s="640"/>
      <c r="AE57" s="643"/>
      <c r="AF57" s="644">
        <f t="shared" si="2"/>
        <v>0</v>
      </c>
      <c r="AG57" s="642">
        <f t="shared" si="3"/>
        <v>0</v>
      </c>
      <c r="AH57" s="645" t="str">
        <f t="shared" si="5"/>
        <v/>
      </c>
      <c r="AI57" s="608" t="str">
        <f>IF('Component Unit Template'!$G$2="","",'Component Unit Template'!$G$2)</f>
        <v/>
      </c>
    </row>
    <row r="58" spans="1:35">
      <c r="A58" s="636" t="s">
        <v>179</v>
      </c>
      <c r="B58" s="637" t="s">
        <v>565</v>
      </c>
      <c r="C58" s="652"/>
      <c r="D58" s="652"/>
      <c r="E58" s="652"/>
      <c r="F58" s="653"/>
      <c r="G58" s="653"/>
      <c r="H58" s="653"/>
      <c r="I58" s="653"/>
      <c r="J58" s="653"/>
      <c r="K58" s="653"/>
      <c r="L58" s="653"/>
      <c r="M58" s="653"/>
      <c r="N58" s="653"/>
      <c r="O58" s="653"/>
      <c r="P58" s="639">
        <f t="shared" si="24"/>
        <v>0</v>
      </c>
      <c r="Q58" s="833">
        <f t="shared" si="22"/>
        <v>0</v>
      </c>
      <c r="R58" s="653"/>
      <c r="S58" s="653"/>
      <c r="T58" s="653"/>
      <c r="U58" s="653"/>
      <c r="V58" s="653"/>
      <c r="W58" s="653"/>
      <c r="X58" s="653"/>
      <c r="Y58" s="654">
        <f t="shared" si="25"/>
        <v>0</v>
      </c>
      <c r="Z58" s="642">
        <f t="shared" si="1"/>
        <v>0</v>
      </c>
      <c r="AA58" s="640"/>
      <c r="AB58" s="640"/>
      <c r="AC58" s="640"/>
      <c r="AD58" s="640"/>
      <c r="AE58" s="643"/>
      <c r="AF58" s="644">
        <f t="shared" si="2"/>
        <v>0</v>
      </c>
      <c r="AG58" s="642">
        <f t="shared" si="3"/>
        <v>0</v>
      </c>
      <c r="AH58" s="645" t="str">
        <f t="shared" si="5"/>
        <v/>
      </c>
      <c r="AI58" s="608" t="str">
        <f>IF('Component Unit Template'!$G$2="","",'Component Unit Template'!$G$2)</f>
        <v/>
      </c>
    </row>
    <row r="59" spans="1:35">
      <c r="A59" s="636" t="s">
        <v>179</v>
      </c>
      <c r="B59" s="637" t="s">
        <v>565</v>
      </c>
      <c r="C59" s="652"/>
      <c r="D59" s="652"/>
      <c r="E59" s="652"/>
      <c r="F59" s="653"/>
      <c r="G59" s="653"/>
      <c r="H59" s="653"/>
      <c r="I59" s="653"/>
      <c r="J59" s="653"/>
      <c r="K59" s="653"/>
      <c r="L59" s="653"/>
      <c r="M59" s="653"/>
      <c r="N59" s="653"/>
      <c r="O59" s="653"/>
      <c r="P59" s="639">
        <f t="shared" si="24"/>
        <v>0</v>
      </c>
      <c r="Q59" s="833">
        <f t="shared" si="22"/>
        <v>0</v>
      </c>
      <c r="R59" s="653"/>
      <c r="S59" s="653"/>
      <c r="T59" s="653"/>
      <c r="U59" s="653"/>
      <c r="V59" s="653"/>
      <c r="W59" s="653"/>
      <c r="X59" s="653"/>
      <c r="Y59" s="654">
        <f t="shared" si="25"/>
        <v>0</v>
      </c>
      <c r="Z59" s="642">
        <f t="shared" si="1"/>
        <v>0</v>
      </c>
      <c r="AA59" s="640"/>
      <c r="AB59" s="640"/>
      <c r="AC59" s="640"/>
      <c r="AD59" s="640"/>
      <c r="AE59" s="643"/>
      <c r="AF59" s="644">
        <f t="shared" si="2"/>
        <v>0</v>
      </c>
      <c r="AG59" s="642">
        <f t="shared" si="3"/>
        <v>0</v>
      </c>
      <c r="AH59" s="645" t="str">
        <f t="shared" si="5"/>
        <v/>
      </c>
      <c r="AI59" s="608" t="str">
        <f>IF('Component Unit Template'!$G$2="","",'Component Unit Template'!$G$2)</f>
        <v/>
      </c>
    </row>
    <row r="60" spans="1:35">
      <c r="A60" s="636" t="s">
        <v>179</v>
      </c>
      <c r="B60" s="637" t="s">
        <v>565</v>
      </c>
      <c r="C60" s="652"/>
      <c r="D60" s="652"/>
      <c r="E60" s="652"/>
      <c r="F60" s="653"/>
      <c r="G60" s="653"/>
      <c r="H60" s="653"/>
      <c r="I60" s="653"/>
      <c r="J60" s="653"/>
      <c r="K60" s="653"/>
      <c r="L60" s="653"/>
      <c r="M60" s="653"/>
      <c r="N60" s="653"/>
      <c r="O60" s="653"/>
      <c r="P60" s="639">
        <f t="shared" si="24"/>
        <v>0</v>
      </c>
      <c r="Q60" s="833">
        <f t="shared" si="22"/>
        <v>0</v>
      </c>
      <c r="R60" s="653"/>
      <c r="S60" s="653"/>
      <c r="T60" s="653"/>
      <c r="U60" s="653"/>
      <c r="V60" s="653"/>
      <c r="W60" s="653"/>
      <c r="X60" s="653"/>
      <c r="Y60" s="654">
        <f t="shared" si="25"/>
        <v>0</v>
      </c>
      <c r="Z60" s="642">
        <f t="shared" si="1"/>
        <v>0</v>
      </c>
      <c r="AA60" s="640"/>
      <c r="AB60" s="640"/>
      <c r="AC60" s="640"/>
      <c r="AD60" s="640"/>
      <c r="AE60" s="643"/>
      <c r="AF60" s="644">
        <f t="shared" si="2"/>
        <v>0</v>
      </c>
      <c r="AG60" s="642">
        <f t="shared" si="3"/>
        <v>0</v>
      </c>
      <c r="AH60" s="645" t="str">
        <f t="shared" si="5"/>
        <v/>
      </c>
      <c r="AI60" s="608" t="str">
        <f>IF('Component Unit Template'!$G$2="","",'Component Unit Template'!$G$2)</f>
        <v/>
      </c>
    </row>
    <row r="61" spans="1:35">
      <c r="A61" s="636"/>
      <c r="B61" s="608"/>
      <c r="C61" s="646"/>
      <c r="D61" s="608"/>
      <c r="E61" s="608"/>
      <c r="F61" s="608"/>
      <c r="G61" s="608"/>
      <c r="H61" s="608"/>
      <c r="I61" s="608"/>
      <c r="J61" s="608"/>
      <c r="K61" s="608"/>
      <c r="L61" s="608"/>
      <c r="M61" s="608"/>
      <c r="N61" s="608"/>
      <c r="O61" s="647"/>
      <c r="P61" s="608"/>
      <c r="Q61" s="608"/>
      <c r="R61" s="648"/>
      <c r="S61" s="648"/>
      <c r="T61" s="648"/>
      <c r="U61" s="648"/>
      <c r="V61" s="648"/>
      <c r="W61" s="648"/>
      <c r="X61" s="648"/>
      <c r="Y61" s="649"/>
      <c r="Z61" s="650"/>
      <c r="AA61" s="648"/>
      <c r="AB61" s="648"/>
      <c r="AC61" s="648"/>
      <c r="AD61" s="648"/>
      <c r="AE61" s="651"/>
      <c r="AF61" s="608"/>
      <c r="AG61" s="650"/>
      <c r="AH61" s="645"/>
      <c r="AI61" s="608"/>
    </row>
    <row r="62" spans="1:35">
      <c r="A62" s="636" t="s">
        <v>179</v>
      </c>
      <c r="B62" s="637" t="s">
        <v>658</v>
      </c>
      <c r="C62" s="652"/>
      <c r="D62" s="652"/>
      <c r="E62" s="652"/>
      <c r="F62" s="653"/>
      <c r="G62" s="653"/>
      <c r="H62" s="653"/>
      <c r="I62" s="653"/>
      <c r="J62" s="653"/>
      <c r="K62" s="653"/>
      <c r="L62" s="653"/>
      <c r="M62" s="653"/>
      <c r="N62" s="653"/>
      <c r="O62" s="653"/>
      <c r="P62" s="639">
        <f t="shared" ref="P62:P66" si="26">IF(SUM(F62:O62)=SUM(R62:U62),SUM(F62:O62))</f>
        <v>0</v>
      </c>
      <c r="Q62" s="833">
        <f t="shared" si="22"/>
        <v>0</v>
      </c>
      <c r="R62" s="653"/>
      <c r="S62" s="653"/>
      <c r="T62" s="653"/>
      <c r="U62" s="653"/>
      <c r="V62" s="653"/>
      <c r="W62" s="653"/>
      <c r="X62" s="653"/>
      <c r="Y62" s="654">
        <f t="shared" si="0"/>
        <v>0</v>
      </c>
      <c r="Z62" s="642">
        <f t="shared" si="1"/>
        <v>0</v>
      </c>
      <c r="AA62" s="640"/>
      <c r="AB62" s="640"/>
      <c r="AC62" s="640"/>
      <c r="AD62" s="640"/>
      <c r="AE62" s="643"/>
      <c r="AF62" s="644">
        <f t="shared" si="2"/>
        <v>0</v>
      </c>
      <c r="AG62" s="642">
        <f t="shared" si="3"/>
        <v>0</v>
      </c>
      <c r="AH62" s="645" t="str">
        <f t="shared" si="5"/>
        <v/>
      </c>
      <c r="AI62" s="608" t="str">
        <f>IF('Component Unit Template'!$G$2="","",'Component Unit Template'!$G$2)</f>
        <v/>
      </c>
    </row>
    <row r="63" spans="1:35">
      <c r="A63" s="636" t="s">
        <v>179</v>
      </c>
      <c r="B63" s="637" t="s">
        <v>658</v>
      </c>
      <c r="C63" s="652"/>
      <c r="D63" s="652"/>
      <c r="E63" s="652"/>
      <c r="F63" s="653"/>
      <c r="G63" s="653"/>
      <c r="H63" s="653"/>
      <c r="I63" s="653"/>
      <c r="J63" s="653"/>
      <c r="K63" s="653"/>
      <c r="L63" s="653"/>
      <c r="M63" s="653"/>
      <c r="N63" s="653"/>
      <c r="O63" s="653"/>
      <c r="P63" s="639">
        <f t="shared" si="26"/>
        <v>0</v>
      </c>
      <c r="Q63" s="833">
        <f t="shared" si="22"/>
        <v>0</v>
      </c>
      <c r="R63" s="653"/>
      <c r="S63" s="653"/>
      <c r="T63" s="653"/>
      <c r="U63" s="653"/>
      <c r="V63" s="653"/>
      <c r="W63" s="653"/>
      <c r="X63" s="653"/>
      <c r="Y63" s="654">
        <f t="shared" ref="Y63:Y66" si="27">IF(SUM(R63:U63)=SUM(V63:X63), SUM(V63:X63),"Error")</f>
        <v>0</v>
      </c>
      <c r="Z63" s="642">
        <f t="shared" si="1"/>
        <v>0</v>
      </c>
      <c r="AA63" s="640"/>
      <c r="AB63" s="640"/>
      <c r="AC63" s="640"/>
      <c r="AD63" s="640"/>
      <c r="AE63" s="643"/>
      <c r="AF63" s="644">
        <f t="shared" si="2"/>
        <v>0</v>
      </c>
      <c r="AG63" s="642">
        <f t="shared" si="3"/>
        <v>0</v>
      </c>
      <c r="AH63" s="645" t="str">
        <f t="shared" si="5"/>
        <v/>
      </c>
      <c r="AI63" s="608" t="str">
        <f>IF('Component Unit Template'!$G$2="","",'Component Unit Template'!$G$2)</f>
        <v/>
      </c>
    </row>
    <row r="64" spans="1:35">
      <c r="A64" s="636" t="s">
        <v>179</v>
      </c>
      <c r="B64" s="637" t="s">
        <v>658</v>
      </c>
      <c r="C64" s="652"/>
      <c r="D64" s="652"/>
      <c r="E64" s="652"/>
      <c r="F64" s="653"/>
      <c r="G64" s="653"/>
      <c r="H64" s="653"/>
      <c r="I64" s="653"/>
      <c r="J64" s="653"/>
      <c r="K64" s="653"/>
      <c r="L64" s="653"/>
      <c r="M64" s="653"/>
      <c r="N64" s="653"/>
      <c r="O64" s="653"/>
      <c r="P64" s="639">
        <f t="shared" si="26"/>
        <v>0</v>
      </c>
      <c r="Q64" s="833">
        <f t="shared" si="22"/>
        <v>0</v>
      </c>
      <c r="R64" s="653"/>
      <c r="S64" s="653"/>
      <c r="T64" s="653"/>
      <c r="U64" s="653"/>
      <c r="V64" s="653"/>
      <c r="W64" s="653"/>
      <c r="X64" s="653"/>
      <c r="Y64" s="654">
        <f t="shared" si="27"/>
        <v>0</v>
      </c>
      <c r="Z64" s="642">
        <f t="shared" si="1"/>
        <v>0</v>
      </c>
      <c r="AA64" s="640"/>
      <c r="AB64" s="640"/>
      <c r="AC64" s="640"/>
      <c r="AD64" s="640"/>
      <c r="AE64" s="643"/>
      <c r="AF64" s="644">
        <f t="shared" si="2"/>
        <v>0</v>
      </c>
      <c r="AG64" s="642">
        <f t="shared" si="3"/>
        <v>0</v>
      </c>
      <c r="AH64" s="645" t="str">
        <f t="shared" si="5"/>
        <v/>
      </c>
      <c r="AI64" s="608" t="str">
        <f>IF('Component Unit Template'!$G$2="","",'Component Unit Template'!$G$2)</f>
        <v/>
      </c>
    </row>
    <row r="65" spans="1:35">
      <c r="A65" s="636" t="s">
        <v>179</v>
      </c>
      <c r="B65" s="637" t="s">
        <v>658</v>
      </c>
      <c r="C65" s="652"/>
      <c r="D65" s="652"/>
      <c r="E65" s="652"/>
      <c r="F65" s="653"/>
      <c r="G65" s="653"/>
      <c r="H65" s="653"/>
      <c r="I65" s="653"/>
      <c r="J65" s="653"/>
      <c r="K65" s="653"/>
      <c r="L65" s="653"/>
      <c r="M65" s="653"/>
      <c r="N65" s="653"/>
      <c r="O65" s="653"/>
      <c r="P65" s="639">
        <f t="shared" si="26"/>
        <v>0</v>
      </c>
      <c r="Q65" s="833">
        <f t="shared" si="22"/>
        <v>0</v>
      </c>
      <c r="R65" s="653"/>
      <c r="S65" s="653"/>
      <c r="T65" s="653"/>
      <c r="U65" s="653"/>
      <c r="V65" s="653"/>
      <c r="W65" s="653"/>
      <c r="X65" s="653"/>
      <c r="Y65" s="654">
        <f t="shared" si="27"/>
        <v>0</v>
      </c>
      <c r="Z65" s="642">
        <f t="shared" si="1"/>
        <v>0</v>
      </c>
      <c r="AA65" s="640"/>
      <c r="AB65" s="640"/>
      <c r="AC65" s="640"/>
      <c r="AD65" s="640"/>
      <c r="AE65" s="643"/>
      <c r="AF65" s="644">
        <f t="shared" si="2"/>
        <v>0</v>
      </c>
      <c r="AG65" s="642">
        <f t="shared" si="3"/>
        <v>0</v>
      </c>
      <c r="AH65" s="645" t="str">
        <f t="shared" si="5"/>
        <v/>
      </c>
      <c r="AI65" s="608" t="str">
        <f>IF('Component Unit Template'!$G$2="","",'Component Unit Template'!$G$2)</f>
        <v/>
      </c>
    </row>
    <row r="66" spans="1:35">
      <c r="A66" s="636" t="s">
        <v>179</v>
      </c>
      <c r="B66" s="637" t="s">
        <v>658</v>
      </c>
      <c r="C66" s="652"/>
      <c r="D66" s="652"/>
      <c r="E66" s="652"/>
      <c r="F66" s="653"/>
      <c r="G66" s="653"/>
      <c r="H66" s="653"/>
      <c r="I66" s="653"/>
      <c r="J66" s="653"/>
      <c r="K66" s="653"/>
      <c r="L66" s="653"/>
      <c r="M66" s="653"/>
      <c r="N66" s="653"/>
      <c r="O66" s="653"/>
      <c r="P66" s="639">
        <f t="shared" si="26"/>
        <v>0</v>
      </c>
      <c r="Q66" s="833">
        <f t="shared" si="22"/>
        <v>0</v>
      </c>
      <c r="R66" s="653"/>
      <c r="S66" s="653"/>
      <c r="T66" s="653"/>
      <c r="U66" s="653"/>
      <c r="V66" s="653"/>
      <c r="W66" s="653"/>
      <c r="X66" s="653"/>
      <c r="Y66" s="654">
        <f t="shared" si="27"/>
        <v>0</v>
      </c>
      <c r="Z66" s="642">
        <f t="shared" si="1"/>
        <v>0</v>
      </c>
      <c r="AA66" s="640"/>
      <c r="AB66" s="640"/>
      <c r="AC66" s="640"/>
      <c r="AD66" s="640"/>
      <c r="AE66" s="643"/>
      <c r="AF66" s="644">
        <f t="shared" si="2"/>
        <v>0</v>
      </c>
      <c r="AG66" s="642">
        <f t="shared" si="3"/>
        <v>0</v>
      </c>
      <c r="AH66" s="645" t="str">
        <f t="shared" si="5"/>
        <v/>
      </c>
      <c r="AI66" s="608" t="str">
        <f>IF('Component Unit Template'!$G$2="","",'Component Unit Template'!$G$2)</f>
        <v/>
      </c>
    </row>
    <row r="67" spans="1:35">
      <c r="A67" s="636"/>
      <c r="B67" s="608"/>
      <c r="C67" s="646"/>
      <c r="D67" s="608"/>
      <c r="E67" s="608"/>
      <c r="F67" s="608"/>
      <c r="G67" s="608"/>
      <c r="H67" s="608"/>
      <c r="I67" s="608"/>
      <c r="J67" s="608"/>
      <c r="K67" s="608"/>
      <c r="L67" s="608"/>
      <c r="M67" s="608"/>
      <c r="N67" s="608"/>
      <c r="O67" s="647"/>
      <c r="P67" s="608"/>
      <c r="Q67" s="608"/>
      <c r="R67" s="648"/>
      <c r="S67" s="648"/>
      <c r="T67" s="648"/>
      <c r="U67" s="648"/>
      <c r="V67" s="648"/>
      <c r="W67" s="648"/>
      <c r="X67" s="648"/>
      <c r="Y67" s="649"/>
      <c r="Z67" s="650"/>
      <c r="AA67" s="648"/>
      <c r="AB67" s="648"/>
      <c r="AC67" s="648"/>
      <c r="AD67" s="648"/>
      <c r="AE67" s="651"/>
      <c r="AF67" s="608"/>
      <c r="AG67" s="650"/>
      <c r="AH67" s="645"/>
      <c r="AI67" s="608"/>
    </row>
    <row r="68" spans="1:35">
      <c r="A68" s="636" t="s">
        <v>179</v>
      </c>
      <c r="B68" s="637" t="s">
        <v>1004</v>
      </c>
      <c r="C68" s="652"/>
      <c r="D68" s="652"/>
      <c r="E68" s="652"/>
      <c r="F68" s="653"/>
      <c r="G68" s="653"/>
      <c r="H68" s="653"/>
      <c r="I68" s="653"/>
      <c r="J68" s="653"/>
      <c r="K68" s="653"/>
      <c r="L68" s="653"/>
      <c r="M68" s="653"/>
      <c r="N68" s="653"/>
      <c r="O68" s="653"/>
      <c r="P68" s="639">
        <f t="shared" ref="P68:P72" si="28">IF(SUM(F68:O68)=SUM(R68:U68),SUM(F68:O68))</f>
        <v>0</v>
      </c>
      <c r="Q68" s="833">
        <f t="shared" si="22"/>
        <v>0</v>
      </c>
      <c r="R68" s="653"/>
      <c r="S68" s="653"/>
      <c r="T68" s="653"/>
      <c r="U68" s="653"/>
      <c r="V68" s="653"/>
      <c r="W68" s="653"/>
      <c r="X68" s="653"/>
      <c r="Y68" s="654">
        <f t="shared" si="0"/>
        <v>0</v>
      </c>
      <c r="Z68" s="642">
        <f t="shared" si="1"/>
        <v>0</v>
      </c>
      <c r="AA68" s="640"/>
      <c r="AB68" s="640"/>
      <c r="AC68" s="640"/>
      <c r="AD68" s="640"/>
      <c r="AE68" s="643"/>
      <c r="AF68" s="644">
        <f t="shared" si="2"/>
        <v>0</v>
      </c>
      <c r="AG68" s="642">
        <f t="shared" si="3"/>
        <v>0</v>
      </c>
      <c r="AH68" s="645" t="str">
        <f t="shared" si="5"/>
        <v/>
      </c>
      <c r="AI68" s="608" t="str">
        <f>IF('Component Unit Template'!$G$2="","",'Component Unit Template'!$G$2)</f>
        <v/>
      </c>
    </row>
    <row r="69" spans="1:35">
      <c r="A69" s="636" t="s">
        <v>179</v>
      </c>
      <c r="B69" s="637" t="s">
        <v>1004</v>
      </c>
      <c r="C69" s="652"/>
      <c r="D69" s="652"/>
      <c r="E69" s="652"/>
      <c r="F69" s="653"/>
      <c r="G69" s="653"/>
      <c r="H69" s="653"/>
      <c r="I69" s="653"/>
      <c r="J69" s="653"/>
      <c r="K69" s="653"/>
      <c r="L69" s="653"/>
      <c r="M69" s="653"/>
      <c r="N69" s="653"/>
      <c r="O69" s="653"/>
      <c r="P69" s="639">
        <f t="shared" si="28"/>
        <v>0</v>
      </c>
      <c r="Q69" s="833">
        <f t="shared" si="22"/>
        <v>0</v>
      </c>
      <c r="R69" s="653"/>
      <c r="S69" s="653"/>
      <c r="T69" s="653"/>
      <c r="U69" s="653"/>
      <c r="V69" s="653"/>
      <c r="W69" s="653"/>
      <c r="X69" s="653"/>
      <c r="Y69" s="654">
        <f t="shared" ref="Y69:Y72" si="29">IF(SUM(R69:U69)=SUM(V69:X69), SUM(V69:X69),"Error")</f>
        <v>0</v>
      </c>
      <c r="Z69" s="642">
        <f t="shared" si="1"/>
        <v>0</v>
      </c>
      <c r="AA69" s="640"/>
      <c r="AB69" s="640"/>
      <c r="AC69" s="640"/>
      <c r="AD69" s="640"/>
      <c r="AE69" s="643"/>
      <c r="AF69" s="644">
        <f t="shared" si="2"/>
        <v>0</v>
      </c>
      <c r="AG69" s="642">
        <f t="shared" si="3"/>
        <v>0</v>
      </c>
      <c r="AH69" s="645" t="str">
        <f t="shared" si="5"/>
        <v/>
      </c>
      <c r="AI69" s="608" t="str">
        <f>IF('Component Unit Template'!$G$2="","",'Component Unit Template'!$G$2)</f>
        <v/>
      </c>
    </row>
    <row r="70" spans="1:35">
      <c r="A70" s="636" t="s">
        <v>179</v>
      </c>
      <c r="B70" s="637" t="s">
        <v>1004</v>
      </c>
      <c r="C70" s="652"/>
      <c r="D70" s="652"/>
      <c r="E70" s="652"/>
      <c r="F70" s="653"/>
      <c r="G70" s="653"/>
      <c r="H70" s="653"/>
      <c r="I70" s="653"/>
      <c r="J70" s="653"/>
      <c r="K70" s="653"/>
      <c r="L70" s="653"/>
      <c r="M70" s="653"/>
      <c r="N70" s="653"/>
      <c r="O70" s="653"/>
      <c r="P70" s="639">
        <f t="shared" si="28"/>
        <v>0</v>
      </c>
      <c r="Q70" s="833">
        <f t="shared" si="22"/>
        <v>0</v>
      </c>
      <c r="R70" s="653"/>
      <c r="S70" s="653"/>
      <c r="T70" s="653"/>
      <c r="U70" s="653"/>
      <c r="V70" s="653"/>
      <c r="W70" s="653"/>
      <c r="X70" s="653"/>
      <c r="Y70" s="654">
        <f t="shared" si="29"/>
        <v>0</v>
      </c>
      <c r="Z70" s="642">
        <f t="shared" si="1"/>
        <v>0</v>
      </c>
      <c r="AA70" s="640"/>
      <c r="AB70" s="640"/>
      <c r="AC70" s="640"/>
      <c r="AD70" s="640"/>
      <c r="AE70" s="643"/>
      <c r="AF70" s="644">
        <f t="shared" si="2"/>
        <v>0</v>
      </c>
      <c r="AG70" s="642">
        <f t="shared" si="3"/>
        <v>0</v>
      </c>
      <c r="AH70" s="645" t="str">
        <f t="shared" si="5"/>
        <v/>
      </c>
      <c r="AI70" s="608" t="str">
        <f>IF('Component Unit Template'!$G$2="","",'Component Unit Template'!$G$2)</f>
        <v/>
      </c>
    </row>
    <row r="71" spans="1:35">
      <c r="A71" s="636" t="s">
        <v>179</v>
      </c>
      <c r="B71" s="637" t="s">
        <v>1004</v>
      </c>
      <c r="C71" s="652"/>
      <c r="D71" s="652"/>
      <c r="E71" s="652"/>
      <c r="F71" s="653"/>
      <c r="G71" s="653"/>
      <c r="H71" s="653"/>
      <c r="I71" s="653"/>
      <c r="J71" s="653"/>
      <c r="K71" s="653"/>
      <c r="L71" s="653"/>
      <c r="M71" s="653"/>
      <c r="N71" s="653"/>
      <c r="O71" s="653"/>
      <c r="P71" s="639">
        <f t="shared" si="28"/>
        <v>0</v>
      </c>
      <c r="Q71" s="833">
        <f t="shared" si="22"/>
        <v>0</v>
      </c>
      <c r="R71" s="653"/>
      <c r="S71" s="653"/>
      <c r="T71" s="653"/>
      <c r="U71" s="653"/>
      <c r="V71" s="653"/>
      <c r="W71" s="653"/>
      <c r="X71" s="653"/>
      <c r="Y71" s="654">
        <f t="shared" si="29"/>
        <v>0</v>
      </c>
      <c r="Z71" s="642">
        <f t="shared" si="1"/>
        <v>0</v>
      </c>
      <c r="AA71" s="640"/>
      <c r="AB71" s="640"/>
      <c r="AC71" s="640"/>
      <c r="AD71" s="640"/>
      <c r="AE71" s="643"/>
      <c r="AF71" s="644">
        <f t="shared" si="2"/>
        <v>0</v>
      </c>
      <c r="AG71" s="642">
        <f t="shared" si="3"/>
        <v>0</v>
      </c>
      <c r="AH71" s="645" t="str">
        <f t="shared" si="5"/>
        <v/>
      </c>
      <c r="AI71" s="608" t="str">
        <f>IF('Component Unit Template'!$G$2="","",'Component Unit Template'!$G$2)</f>
        <v/>
      </c>
    </row>
    <row r="72" spans="1:35">
      <c r="A72" s="636" t="s">
        <v>179</v>
      </c>
      <c r="B72" s="637" t="s">
        <v>1004</v>
      </c>
      <c r="C72" s="652"/>
      <c r="D72" s="652"/>
      <c r="E72" s="652"/>
      <c r="F72" s="653"/>
      <c r="G72" s="653"/>
      <c r="H72" s="653"/>
      <c r="I72" s="653"/>
      <c r="J72" s="653"/>
      <c r="K72" s="653"/>
      <c r="L72" s="653"/>
      <c r="M72" s="653"/>
      <c r="N72" s="653"/>
      <c r="O72" s="653"/>
      <c r="P72" s="639">
        <f t="shared" si="28"/>
        <v>0</v>
      </c>
      <c r="Q72" s="833">
        <f t="shared" si="22"/>
        <v>0</v>
      </c>
      <c r="R72" s="653"/>
      <c r="S72" s="653"/>
      <c r="T72" s="653"/>
      <c r="U72" s="653"/>
      <c r="V72" s="653"/>
      <c r="W72" s="653"/>
      <c r="X72" s="653"/>
      <c r="Y72" s="654">
        <f t="shared" si="29"/>
        <v>0</v>
      </c>
      <c r="Z72" s="642">
        <f t="shared" si="1"/>
        <v>0</v>
      </c>
      <c r="AA72" s="640"/>
      <c r="AB72" s="640"/>
      <c r="AC72" s="640"/>
      <c r="AD72" s="640"/>
      <c r="AE72" s="643"/>
      <c r="AF72" s="644">
        <f t="shared" si="2"/>
        <v>0</v>
      </c>
      <c r="AG72" s="642">
        <f t="shared" si="3"/>
        <v>0</v>
      </c>
      <c r="AH72" s="645" t="str">
        <f t="shared" si="5"/>
        <v/>
      </c>
      <c r="AI72" s="608" t="str">
        <f>IF('Component Unit Template'!$G$2="","",'Component Unit Template'!$G$2)</f>
        <v/>
      </c>
    </row>
    <row r="73" spans="1:35">
      <c r="A73" s="636"/>
      <c r="B73" s="608"/>
      <c r="C73" s="670"/>
      <c r="D73" s="608"/>
      <c r="E73" s="608"/>
      <c r="F73" s="608"/>
      <c r="G73" s="608"/>
      <c r="H73" s="608"/>
      <c r="I73" s="608"/>
      <c r="J73" s="608"/>
      <c r="K73" s="608"/>
      <c r="L73" s="608"/>
      <c r="M73" s="608"/>
      <c r="N73" s="608"/>
      <c r="O73" s="647"/>
      <c r="P73" s="608"/>
      <c r="Q73" s="608"/>
      <c r="R73" s="648"/>
      <c r="S73" s="648"/>
      <c r="T73" s="648"/>
      <c r="U73" s="648"/>
      <c r="V73" s="648"/>
      <c r="W73" s="648"/>
      <c r="X73" s="648"/>
      <c r="Y73" s="649"/>
      <c r="Z73" s="650"/>
      <c r="AA73" s="648"/>
      <c r="AB73" s="648"/>
      <c r="AC73" s="648"/>
      <c r="AD73" s="648"/>
      <c r="AE73" s="651"/>
      <c r="AF73" s="608"/>
      <c r="AG73" s="650"/>
      <c r="AH73" s="645"/>
      <c r="AI73" s="608"/>
    </row>
    <row r="74" spans="1:35">
      <c r="A74" s="636" t="s">
        <v>179</v>
      </c>
      <c r="B74" s="637" t="s">
        <v>807</v>
      </c>
      <c r="C74" s="652"/>
      <c r="D74" s="608"/>
      <c r="E74" s="608"/>
      <c r="F74" s="653"/>
      <c r="G74" s="653"/>
      <c r="H74" s="653"/>
      <c r="I74" s="653"/>
      <c r="J74" s="653"/>
      <c r="K74" s="653"/>
      <c r="L74" s="653"/>
      <c r="M74" s="653"/>
      <c r="N74" s="653"/>
      <c r="O74" s="653"/>
      <c r="P74" s="639">
        <f t="shared" ref="P74:P79" si="30">IF(SUM(F74:O74)=SUM(R74:U74),SUM(F74:O74))</f>
        <v>0</v>
      </c>
      <c r="Q74" s="833">
        <f t="shared" si="22"/>
        <v>0</v>
      </c>
      <c r="R74" s="653"/>
      <c r="S74" s="653"/>
      <c r="T74" s="653"/>
      <c r="U74" s="653"/>
      <c r="V74" s="653"/>
      <c r="W74" s="653"/>
      <c r="X74" s="653"/>
      <c r="Y74" s="654">
        <f t="shared" si="0"/>
        <v>0</v>
      </c>
      <c r="Z74" s="642">
        <f t="shared" si="1"/>
        <v>0</v>
      </c>
      <c r="AA74" s="640"/>
      <c r="AB74" s="640"/>
      <c r="AC74" s="640"/>
      <c r="AD74" s="640"/>
      <c r="AE74" s="643"/>
      <c r="AF74" s="644">
        <f t="shared" si="2"/>
        <v>0</v>
      </c>
      <c r="AG74" s="642">
        <f t="shared" si="3"/>
        <v>0</v>
      </c>
      <c r="AH74" s="645" t="str">
        <f t="shared" si="5"/>
        <v/>
      </c>
      <c r="AI74" s="608" t="str">
        <f>IF('Component Unit Template'!$G$2="","",'Component Unit Template'!$G$2)</f>
        <v/>
      </c>
    </row>
    <row r="75" spans="1:35">
      <c r="A75" s="636" t="s">
        <v>179</v>
      </c>
      <c r="B75" s="637" t="s">
        <v>807</v>
      </c>
      <c r="C75" s="652"/>
      <c r="D75" s="608"/>
      <c r="E75" s="608"/>
      <c r="F75" s="653"/>
      <c r="G75" s="653"/>
      <c r="H75" s="653"/>
      <c r="I75" s="653"/>
      <c r="J75" s="653"/>
      <c r="K75" s="653"/>
      <c r="L75" s="653"/>
      <c r="M75" s="653"/>
      <c r="N75" s="653"/>
      <c r="O75" s="653"/>
      <c r="P75" s="639">
        <f t="shared" si="30"/>
        <v>0</v>
      </c>
      <c r="Q75" s="833">
        <f t="shared" si="22"/>
        <v>0</v>
      </c>
      <c r="R75" s="653"/>
      <c r="S75" s="653"/>
      <c r="T75" s="653"/>
      <c r="U75" s="653"/>
      <c r="V75" s="653"/>
      <c r="W75" s="653"/>
      <c r="X75" s="653"/>
      <c r="Y75" s="654">
        <f t="shared" ref="Y75:Y79" si="31">IF(SUM(R75:U75)=SUM(V75:X75), SUM(V75:X75),"Error")</f>
        <v>0</v>
      </c>
      <c r="Z75" s="642">
        <f t="shared" si="1"/>
        <v>0</v>
      </c>
      <c r="AA75" s="640"/>
      <c r="AB75" s="640"/>
      <c r="AC75" s="640"/>
      <c r="AD75" s="640"/>
      <c r="AE75" s="643"/>
      <c r="AF75" s="644">
        <f t="shared" si="2"/>
        <v>0</v>
      </c>
      <c r="AG75" s="642">
        <f t="shared" si="3"/>
        <v>0</v>
      </c>
      <c r="AH75" s="645" t="str">
        <f t="shared" si="5"/>
        <v/>
      </c>
      <c r="AI75" s="608" t="str">
        <f>IF('Component Unit Template'!$G$2="","",'Component Unit Template'!$G$2)</f>
        <v/>
      </c>
    </row>
    <row r="76" spans="1:35">
      <c r="A76" s="636" t="s">
        <v>179</v>
      </c>
      <c r="B76" s="637" t="s">
        <v>807</v>
      </c>
      <c r="C76" s="652"/>
      <c r="D76" s="608"/>
      <c r="E76" s="608"/>
      <c r="F76" s="653"/>
      <c r="G76" s="653"/>
      <c r="H76" s="653"/>
      <c r="I76" s="653"/>
      <c r="J76" s="653"/>
      <c r="K76" s="653"/>
      <c r="L76" s="653"/>
      <c r="M76" s="653"/>
      <c r="N76" s="653"/>
      <c r="O76" s="653"/>
      <c r="P76" s="639">
        <f t="shared" si="30"/>
        <v>0</v>
      </c>
      <c r="Q76" s="833">
        <f t="shared" si="22"/>
        <v>0</v>
      </c>
      <c r="R76" s="653"/>
      <c r="S76" s="653"/>
      <c r="T76" s="653"/>
      <c r="U76" s="653"/>
      <c r="V76" s="653"/>
      <c r="W76" s="653"/>
      <c r="X76" s="653"/>
      <c r="Y76" s="654">
        <f t="shared" si="31"/>
        <v>0</v>
      </c>
      <c r="Z76" s="642">
        <f t="shared" si="1"/>
        <v>0</v>
      </c>
      <c r="AA76" s="640"/>
      <c r="AB76" s="640"/>
      <c r="AC76" s="640"/>
      <c r="AD76" s="640"/>
      <c r="AE76" s="643"/>
      <c r="AF76" s="644">
        <f t="shared" si="2"/>
        <v>0</v>
      </c>
      <c r="AG76" s="642">
        <f t="shared" si="3"/>
        <v>0</v>
      </c>
      <c r="AH76" s="645" t="str">
        <f t="shared" si="5"/>
        <v/>
      </c>
      <c r="AI76" s="608" t="str">
        <f>IF('Component Unit Template'!$G$2="","",'Component Unit Template'!$G$2)</f>
        <v/>
      </c>
    </row>
    <row r="77" spans="1:35">
      <c r="A77" s="636" t="s">
        <v>179</v>
      </c>
      <c r="B77" s="637" t="s">
        <v>807</v>
      </c>
      <c r="C77" s="652"/>
      <c r="D77" s="608"/>
      <c r="E77" s="608"/>
      <c r="F77" s="653"/>
      <c r="G77" s="653"/>
      <c r="H77" s="653"/>
      <c r="I77" s="653"/>
      <c r="J77" s="653"/>
      <c r="K77" s="653"/>
      <c r="L77" s="653"/>
      <c r="M77" s="653"/>
      <c r="N77" s="653"/>
      <c r="O77" s="653"/>
      <c r="P77" s="639">
        <f t="shared" si="30"/>
        <v>0</v>
      </c>
      <c r="Q77" s="833">
        <f t="shared" si="22"/>
        <v>0</v>
      </c>
      <c r="R77" s="653"/>
      <c r="S77" s="653"/>
      <c r="T77" s="653"/>
      <c r="U77" s="653"/>
      <c r="V77" s="653"/>
      <c r="W77" s="653"/>
      <c r="X77" s="653"/>
      <c r="Y77" s="654">
        <f t="shared" si="31"/>
        <v>0</v>
      </c>
      <c r="Z77" s="642">
        <f t="shared" si="1"/>
        <v>0</v>
      </c>
      <c r="AA77" s="640"/>
      <c r="AB77" s="640"/>
      <c r="AC77" s="640"/>
      <c r="AD77" s="640"/>
      <c r="AE77" s="643"/>
      <c r="AF77" s="644">
        <f t="shared" si="2"/>
        <v>0</v>
      </c>
      <c r="AG77" s="642">
        <f t="shared" si="3"/>
        <v>0</v>
      </c>
      <c r="AH77" s="645" t="str">
        <f t="shared" si="5"/>
        <v/>
      </c>
      <c r="AI77" s="608" t="str">
        <f>IF('Component Unit Template'!$G$2="","",'Component Unit Template'!$G$2)</f>
        <v/>
      </c>
    </row>
    <row r="78" spans="1:35">
      <c r="A78" s="636" t="s">
        <v>179</v>
      </c>
      <c r="B78" s="637" t="s">
        <v>807</v>
      </c>
      <c r="C78" s="652"/>
      <c r="D78" s="608"/>
      <c r="E78" s="608"/>
      <c r="F78" s="653"/>
      <c r="G78" s="653"/>
      <c r="H78" s="653"/>
      <c r="I78" s="653"/>
      <c r="J78" s="653"/>
      <c r="K78" s="653"/>
      <c r="L78" s="653"/>
      <c r="M78" s="653"/>
      <c r="N78" s="653"/>
      <c r="O78" s="653"/>
      <c r="P78" s="639">
        <f t="shared" si="30"/>
        <v>0</v>
      </c>
      <c r="Q78" s="833">
        <f t="shared" si="22"/>
        <v>0</v>
      </c>
      <c r="R78" s="653"/>
      <c r="S78" s="653"/>
      <c r="T78" s="653"/>
      <c r="U78" s="653"/>
      <c r="V78" s="653"/>
      <c r="W78" s="653"/>
      <c r="X78" s="653"/>
      <c r="Y78" s="654">
        <f t="shared" si="31"/>
        <v>0</v>
      </c>
      <c r="Z78" s="642">
        <f t="shared" si="1"/>
        <v>0</v>
      </c>
      <c r="AA78" s="640"/>
      <c r="AB78" s="640"/>
      <c r="AC78" s="640"/>
      <c r="AD78" s="640"/>
      <c r="AE78" s="643"/>
      <c r="AF78" s="644">
        <f t="shared" si="2"/>
        <v>0</v>
      </c>
      <c r="AG78" s="642">
        <f t="shared" si="3"/>
        <v>0</v>
      </c>
      <c r="AH78" s="645" t="str">
        <f t="shared" si="5"/>
        <v/>
      </c>
      <c r="AI78" s="608" t="str">
        <f>IF('Component Unit Template'!$G$2="","",'Component Unit Template'!$G$2)</f>
        <v/>
      </c>
    </row>
    <row r="79" spans="1:35">
      <c r="A79" s="636" t="s">
        <v>179</v>
      </c>
      <c r="B79" s="637" t="s">
        <v>807</v>
      </c>
      <c r="C79" s="652"/>
      <c r="D79" s="608"/>
      <c r="E79" s="608"/>
      <c r="F79" s="653"/>
      <c r="G79" s="653"/>
      <c r="H79" s="653"/>
      <c r="I79" s="653"/>
      <c r="J79" s="653"/>
      <c r="K79" s="653"/>
      <c r="L79" s="653"/>
      <c r="M79" s="653"/>
      <c r="N79" s="653"/>
      <c r="O79" s="653"/>
      <c r="P79" s="639">
        <f t="shared" si="30"/>
        <v>0</v>
      </c>
      <c r="Q79" s="833">
        <f t="shared" si="22"/>
        <v>0</v>
      </c>
      <c r="R79" s="653"/>
      <c r="S79" s="653"/>
      <c r="T79" s="653"/>
      <c r="U79" s="653"/>
      <c r="V79" s="653"/>
      <c r="W79" s="653"/>
      <c r="X79" s="653"/>
      <c r="Y79" s="654">
        <f t="shared" si="31"/>
        <v>0</v>
      </c>
      <c r="Z79" s="642">
        <f t="shared" si="1"/>
        <v>0</v>
      </c>
      <c r="AA79" s="640"/>
      <c r="AB79" s="640"/>
      <c r="AC79" s="640"/>
      <c r="AD79" s="640"/>
      <c r="AE79" s="643"/>
      <c r="AF79" s="644">
        <f t="shared" si="2"/>
        <v>0</v>
      </c>
      <c r="AG79" s="642">
        <f t="shared" si="3"/>
        <v>0</v>
      </c>
      <c r="AH79" s="645" t="str">
        <f t="shared" si="5"/>
        <v/>
      </c>
      <c r="AI79" s="608" t="str">
        <f>IF('Component Unit Template'!$G$2="","",'Component Unit Template'!$G$2)</f>
        <v/>
      </c>
    </row>
    <row r="80" spans="1:35">
      <c r="A80" s="636"/>
      <c r="B80" s="608"/>
      <c r="C80" s="646"/>
      <c r="D80" s="608"/>
      <c r="E80" s="608"/>
      <c r="F80" s="608"/>
      <c r="G80" s="608"/>
      <c r="H80" s="608"/>
      <c r="I80" s="608"/>
      <c r="J80" s="608"/>
      <c r="K80" s="608"/>
      <c r="L80" s="608"/>
      <c r="M80" s="608"/>
      <c r="N80" s="608"/>
      <c r="O80" s="647"/>
      <c r="P80" s="608"/>
      <c r="Q80" s="608"/>
      <c r="R80" s="648"/>
      <c r="S80" s="648"/>
      <c r="T80" s="648"/>
      <c r="U80" s="648"/>
      <c r="V80" s="616"/>
      <c r="W80" s="616"/>
      <c r="X80" s="648"/>
      <c r="Y80" s="649"/>
      <c r="Z80" s="650"/>
      <c r="AA80" s="648"/>
      <c r="AB80" s="656"/>
      <c r="AC80" s="656"/>
      <c r="AD80" s="656"/>
      <c r="AE80" s="657"/>
      <c r="AF80" s="608"/>
      <c r="AG80" s="650"/>
      <c r="AH80" s="645"/>
      <c r="AI80" s="608"/>
    </row>
    <row r="81" spans="1:35">
      <c r="A81" s="636" t="s">
        <v>179</v>
      </c>
      <c r="B81" s="637" t="s">
        <v>566</v>
      </c>
      <c r="C81" s="652"/>
      <c r="D81" s="652"/>
      <c r="E81" s="652"/>
      <c r="F81" s="653"/>
      <c r="G81" s="653"/>
      <c r="H81" s="653"/>
      <c r="I81" s="653"/>
      <c r="J81" s="653"/>
      <c r="K81" s="653"/>
      <c r="L81" s="653"/>
      <c r="M81" s="653"/>
      <c r="N81" s="653"/>
      <c r="O81" s="653"/>
      <c r="P81" s="639">
        <f t="shared" ref="P81:P85" si="32">IF(SUM(F81:O81)=SUM(R81:U81),SUM(F81:O81))</f>
        <v>0</v>
      </c>
      <c r="Q81" s="833">
        <f t="shared" si="22"/>
        <v>0</v>
      </c>
      <c r="R81" s="653"/>
      <c r="S81" s="653"/>
      <c r="T81" s="653"/>
      <c r="U81" s="653"/>
      <c r="V81" s="639"/>
      <c r="W81" s="655"/>
      <c r="X81" s="653"/>
      <c r="Y81" s="654">
        <f t="shared" si="0"/>
        <v>0</v>
      </c>
      <c r="Z81" s="642">
        <f t="shared" si="1"/>
        <v>0</v>
      </c>
      <c r="AA81" s="640"/>
      <c r="AB81" s="640"/>
      <c r="AC81" s="640"/>
      <c r="AD81" s="640"/>
      <c r="AE81" s="643"/>
      <c r="AF81" s="644">
        <f t="shared" si="2"/>
        <v>0</v>
      </c>
      <c r="AG81" s="642">
        <f t="shared" si="3"/>
        <v>0</v>
      </c>
      <c r="AH81" s="645" t="str">
        <f t="shared" si="5"/>
        <v/>
      </c>
      <c r="AI81" s="608" t="str">
        <f>IF('Component Unit Template'!$G$2="","",'Component Unit Template'!$G$2)</f>
        <v/>
      </c>
    </row>
    <row r="82" spans="1:35">
      <c r="A82" s="636" t="s">
        <v>179</v>
      </c>
      <c r="B82" s="637" t="s">
        <v>566</v>
      </c>
      <c r="C82" s="652"/>
      <c r="D82" s="652"/>
      <c r="E82" s="652"/>
      <c r="F82" s="653"/>
      <c r="G82" s="653"/>
      <c r="H82" s="653"/>
      <c r="I82" s="653"/>
      <c r="J82" s="653"/>
      <c r="K82" s="653"/>
      <c r="L82" s="653"/>
      <c r="M82" s="653"/>
      <c r="N82" s="653"/>
      <c r="O82" s="653"/>
      <c r="P82" s="639">
        <f t="shared" si="32"/>
        <v>0</v>
      </c>
      <c r="Q82" s="833">
        <f t="shared" si="22"/>
        <v>0</v>
      </c>
      <c r="R82" s="653"/>
      <c r="S82" s="653"/>
      <c r="T82" s="653"/>
      <c r="U82" s="653"/>
      <c r="V82" s="639"/>
      <c r="W82" s="655"/>
      <c r="X82" s="653"/>
      <c r="Y82" s="654">
        <f t="shared" ref="Y82:Y85" si="33">IF(SUM(R82:U82)=SUM(V82:X82), SUM(V82:X82),"Error")</f>
        <v>0</v>
      </c>
      <c r="Z82" s="642">
        <f t="shared" si="1"/>
        <v>0</v>
      </c>
      <c r="AA82" s="640"/>
      <c r="AB82" s="640"/>
      <c r="AC82" s="640"/>
      <c r="AD82" s="640"/>
      <c r="AE82" s="643"/>
      <c r="AF82" s="644">
        <f t="shared" si="2"/>
        <v>0</v>
      </c>
      <c r="AG82" s="642">
        <f t="shared" si="3"/>
        <v>0</v>
      </c>
      <c r="AH82" s="645" t="str">
        <f t="shared" si="5"/>
        <v/>
      </c>
      <c r="AI82" s="608" t="str">
        <f>IF('Component Unit Template'!$G$2="","",'Component Unit Template'!$G$2)</f>
        <v/>
      </c>
    </row>
    <row r="83" spans="1:35">
      <c r="A83" s="636" t="s">
        <v>179</v>
      </c>
      <c r="B83" s="637" t="s">
        <v>566</v>
      </c>
      <c r="C83" s="652"/>
      <c r="D83" s="652"/>
      <c r="E83" s="652"/>
      <c r="F83" s="653"/>
      <c r="G83" s="653"/>
      <c r="H83" s="653"/>
      <c r="I83" s="653"/>
      <c r="J83" s="653"/>
      <c r="K83" s="653"/>
      <c r="L83" s="653"/>
      <c r="M83" s="653"/>
      <c r="N83" s="653"/>
      <c r="O83" s="653"/>
      <c r="P83" s="639">
        <f t="shared" si="32"/>
        <v>0</v>
      </c>
      <c r="Q83" s="833">
        <f t="shared" si="22"/>
        <v>0</v>
      </c>
      <c r="R83" s="653"/>
      <c r="S83" s="653"/>
      <c r="T83" s="653"/>
      <c r="U83" s="653"/>
      <c r="V83" s="639"/>
      <c r="W83" s="655"/>
      <c r="X83" s="653"/>
      <c r="Y83" s="654">
        <f t="shared" si="33"/>
        <v>0</v>
      </c>
      <c r="Z83" s="642">
        <f t="shared" si="1"/>
        <v>0</v>
      </c>
      <c r="AA83" s="640"/>
      <c r="AB83" s="640"/>
      <c r="AC83" s="640"/>
      <c r="AD83" s="640"/>
      <c r="AE83" s="643"/>
      <c r="AF83" s="644">
        <f t="shared" si="2"/>
        <v>0</v>
      </c>
      <c r="AG83" s="642">
        <f t="shared" si="3"/>
        <v>0</v>
      </c>
      <c r="AH83" s="645" t="str">
        <f t="shared" si="5"/>
        <v/>
      </c>
      <c r="AI83" s="608" t="str">
        <f>IF('Component Unit Template'!$G$2="","",'Component Unit Template'!$G$2)</f>
        <v/>
      </c>
    </row>
    <row r="84" spans="1:35">
      <c r="A84" s="636" t="s">
        <v>179</v>
      </c>
      <c r="B84" s="637" t="s">
        <v>566</v>
      </c>
      <c r="C84" s="652"/>
      <c r="D84" s="652"/>
      <c r="E84" s="652"/>
      <c r="F84" s="653"/>
      <c r="G84" s="653"/>
      <c r="H84" s="653"/>
      <c r="I84" s="653"/>
      <c r="J84" s="653"/>
      <c r="K84" s="653"/>
      <c r="L84" s="653"/>
      <c r="M84" s="653"/>
      <c r="N84" s="653"/>
      <c r="O84" s="653"/>
      <c r="P84" s="639">
        <f t="shared" si="32"/>
        <v>0</v>
      </c>
      <c r="Q84" s="833">
        <f t="shared" si="22"/>
        <v>0</v>
      </c>
      <c r="R84" s="653"/>
      <c r="S84" s="653"/>
      <c r="T84" s="653"/>
      <c r="U84" s="653"/>
      <c r="V84" s="639"/>
      <c r="W84" s="655"/>
      <c r="X84" s="653"/>
      <c r="Y84" s="654">
        <f t="shared" si="33"/>
        <v>0</v>
      </c>
      <c r="Z84" s="642">
        <f t="shared" si="1"/>
        <v>0</v>
      </c>
      <c r="AA84" s="640"/>
      <c r="AB84" s="640"/>
      <c r="AC84" s="640"/>
      <c r="AD84" s="640"/>
      <c r="AE84" s="643"/>
      <c r="AF84" s="644">
        <f t="shared" si="2"/>
        <v>0</v>
      </c>
      <c r="AG84" s="642">
        <f t="shared" si="3"/>
        <v>0</v>
      </c>
      <c r="AH84" s="645" t="str">
        <f t="shared" si="5"/>
        <v/>
      </c>
      <c r="AI84" s="608" t="str">
        <f>IF('Component Unit Template'!$G$2="","",'Component Unit Template'!$G$2)</f>
        <v/>
      </c>
    </row>
    <row r="85" spans="1:35">
      <c r="A85" s="636" t="s">
        <v>179</v>
      </c>
      <c r="B85" s="637" t="s">
        <v>566</v>
      </c>
      <c r="C85" s="652"/>
      <c r="D85" s="652"/>
      <c r="E85" s="652"/>
      <c r="F85" s="653"/>
      <c r="G85" s="653"/>
      <c r="H85" s="653"/>
      <c r="I85" s="653"/>
      <c r="J85" s="653"/>
      <c r="K85" s="653"/>
      <c r="L85" s="653"/>
      <c r="M85" s="653"/>
      <c r="N85" s="653"/>
      <c r="O85" s="653"/>
      <c r="P85" s="639">
        <f t="shared" si="32"/>
        <v>0</v>
      </c>
      <c r="Q85" s="833">
        <f t="shared" si="22"/>
        <v>0</v>
      </c>
      <c r="R85" s="653"/>
      <c r="S85" s="653"/>
      <c r="T85" s="653"/>
      <c r="U85" s="653"/>
      <c r="V85" s="639"/>
      <c r="W85" s="655"/>
      <c r="X85" s="653"/>
      <c r="Y85" s="654">
        <f t="shared" si="33"/>
        <v>0</v>
      </c>
      <c r="Z85" s="642">
        <f t="shared" si="1"/>
        <v>0</v>
      </c>
      <c r="AA85" s="640"/>
      <c r="AB85" s="640"/>
      <c r="AC85" s="640"/>
      <c r="AD85" s="640"/>
      <c r="AE85" s="643"/>
      <c r="AF85" s="644">
        <f t="shared" si="2"/>
        <v>0</v>
      </c>
      <c r="AG85" s="642">
        <f t="shared" si="3"/>
        <v>0</v>
      </c>
      <c r="AH85" s="645" t="str">
        <f t="shared" si="5"/>
        <v/>
      </c>
      <c r="AI85" s="608" t="str">
        <f>IF('Component Unit Template'!$G$2="","",'Component Unit Template'!$G$2)</f>
        <v/>
      </c>
    </row>
    <row r="86" spans="1:35">
      <c r="A86" s="636"/>
      <c r="B86" s="608"/>
      <c r="C86" s="646"/>
      <c r="D86" s="608"/>
      <c r="E86" s="608"/>
      <c r="F86" s="608"/>
      <c r="G86" s="608"/>
      <c r="H86" s="608"/>
      <c r="I86" s="608"/>
      <c r="J86" s="608"/>
      <c r="K86" s="608"/>
      <c r="L86" s="608"/>
      <c r="M86" s="608"/>
      <c r="N86" s="608"/>
      <c r="O86" s="647"/>
      <c r="P86" s="608"/>
      <c r="Q86" s="608"/>
      <c r="R86" s="648"/>
      <c r="S86" s="648"/>
      <c r="T86" s="648"/>
      <c r="U86" s="648"/>
      <c r="V86" s="656"/>
      <c r="W86" s="656"/>
      <c r="X86" s="648"/>
      <c r="Y86" s="649"/>
      <c r="Z86" s="650"/>
      <c r="AA86" s="648"/>
      <c r="AB86" s="648"/>
      <c r="AC86" s="648"/>
      <c r="AD86" s="648"/>
      <c r="AE86" s="651"/>
      <c r="AF86" s="608"/>
      <c r="AG86" s="650"/>
      <c r="AH86" s="645"/>
      <c r="AI86" s="608"/>
    </row>
    <row r="87" spans="1:35">
      <c r="A87" s="636" t="s">
        <v>179</v>
      </c>
      <c r="B87" s="637" t="s">
        <v>567</v>
      </c>
      <c r="C87" s="652"/>
      <c r="D87" s="652"/>
      <c r="E87" s="652"/>
      <c r="F87" s="653"/>
      <c r="G87" s="653"/>
      <c r="H87" s="653"/>
      <c r="I87" s="653"/>
      <c r="J87" s="653"/>
      <c r="K87" s="653"/>
      <c r="L87" s="653"/>
      <c r="M87" s="653"/>
      <c r="N87" s="653"/>
      <c r="O87" s="653"/>
      <c r="P87" s="639">
        <f t="shared" ref="P87:P91" si="34">IF(SUM(F87:O87)=SUM(R87:U87),SUM(F87:O87))</f>
        <v>0</v>
      </c>
      <c r="Q87" s="833">
        <f t="shared" si="22"/>
        <v>0</v>
      </c>
      <c r="R87" s="653"/>
      <c r="S87" s="653"/>
      <c r="T87" s="653"/>
      <c r="U87" s="653"/>
      <c r="V87" s="653"/>
      <c r="W87" s="653"/>
      <c r="X87" s="653"/>
      <c r="Y87" s="654">
        <f t="shared" si="0"/>
        <v>0</v>
      </c>
      <c r="Z87" s="642">
        <f t="shared" si="1"/>
        <v>0</v>
      </c>
      <c r="AA87" s="640"/>
      <c r="AB87" s="640"/>
      <c r="AC87" s="640"/>
      <c r="AD87" s="640"/>
      <c r="AE87" s="643"/>
      <c r="AF87" s="644">
        <f t="shared" si="2"/>
        <v>0</v>
      </c>
      <c r="AG87" s="642">
        <f t="shared" si="3"/>
        <v>0</v>
      </c>
      <c r="AH87" s="645" t="str">
        <f t="shared" si="5"/>
        <v/>
      </c>
      <c r="AI87" s="608" t="str">
        <f>IF('Component Unit Template'!$G$2="","",'Component Unit Template'!$G$2)</f>
        <v/>
      </c>
    </row>
    <row r="88" spans="1:35">
      <c r="A88" s="636" t="s">
        <v>179</v>
      </c>
      <c r="B88" s="637" t="s">
        <v>567</v>
      </c>
      <c r="C88" s="652"/>
      <c r="D88" s="652"/>
      <c r="E88" s="652"/>
      <c r="F88" s="653"/>
      <c r="G88" s="653"/>
      <c r="H88" s="653"/>
      <c r="I88" s="653"/>
      <c r="J88" s="653"/>
      <c r="K88" s="653"/>
      <c r="L88" s="653"/>
      <c r="M88" s="653"/>
      <c r="N88" s="653"/>
      <c r="O88" s="653"/>
      <c r="P88" s="639">
        <f t="shared" si="34"/>
        <v>0</v>
      </c>
      <c r="Q88" s="833">
        <f t="shared" si="22"/>
        <v>0</v>
      </c>
      <c r="R88" s="653"/>
      <c r="S88" s="653"/>
      <c r="T88" s="653"/>
      <c r="U88" s="653"/>
      <c r="V88" s="653"/>
      <c r="W88" s="653"/>
      <c r="X88" s="653"/>
      <c r="Y88" s="654">
        <f t="shared" ref="Y88:Y91" si="35">IF(SUM(R88:U88)=SUM(V88:X88), SUM(V88:X88),"Error")</f>
        <v>0</v>
      </c>
      <c r="Z88" s="642">
        <f t="shared" si="1"/>
        <v>0</v>
      </c>
      <c r="AA88" s="640"/>
      <c r="AB88" s="640"/>
      <c r="AC88" s="640"/>
      <c r="AD88" s="640"/>
      <c r="AE88" s="643"/>
      <c r="AF88" s="644">
        <f t="shared" si="2"/>
        <v>0</v>
      </c>
      <c r="AG88" s="642">
        <f t="shared" si="3"/>
        <v>0</v>
      </c>
      <c r="AH88" s="645" t="str">
        <f t="shared" si="5"/>
        <v/>
      </c>
      <c r="AI88" s="608" t="str">
        <f>IF('Component Unit Template'!$G$2="","",'Component Unit Template'!$G$2)</f>
        <v/>
      </c>
    </row>
    <row r="89" spans="1:35">
      <c r="A89" s="636" t="s">
        <v>179</v>
      </c>
      <c r="B89" s="637" t="s">
        <v>567</v>
      </c>
      <c r="C89" s="652"/>
      <c r="D89" s="652"/>
      <c r="E89" s="652"/>
      <c r="F89" s="653"/>
      <c r="G89" s="653"/>
      <c r="H89" s="653"/>
      <c r="I89" s="653"/>
      <c r="J89" s="653"/>
      <c r="K89" s="653"/>
      <c r="L89" s="653"/>
      <c r="M89" s="653"/>
      <c r="N89" s="653"/>
      <c r="O89" s="653"/>
      <c r="P89" s="639">
        <f t="shared" si="34"/>
        <v>0</v>
      </c>
      <c r="Q89" s="833">
        <f t="shared" si="22"/>
        <v>0</v>
      </c>
      <c r="R89" s="653"/>
      <c r="S89" s="653"/>
      <c r="T89" s="653"/>
      <c r="U89" s="653"/>
      <c r="V89" s="653"/>
      <c r="W89" s="653"/>
      <c r="X89" s="653"/>
      <c r="Y89" s="654">
        <f t="shared" si="35"/>
        <v>0</v>
      </c>
      <c r="Z89" s="642">
        <f t="shared" si="1"/>
        <v>0</v>
      </c>
      <c r="AA89" s="640"/>
      <c r="AB89" s="640"/>
      <c r="AC89" s="640"/>
      <c r="AD89" s="640"/>
      <c r="AE89" s="643"/>
      <c r="AF89" s="644">
        <f t="shared" si="2"/>
        <v>0</v>
      </c>
      <c r="AG89" s="642">
        <f t="shared" si="3"/>
        <v>0</v>
      </c>
      <c r="AH89" s="645" t="str">
        <f t="shared" si="5"/>
        <v/>
      </c>
      <c r="AI89" s="608" t="str">
        <f>IF('Component Unit Template'!$G$2="","",'Component Unit Template'!$G$2)</f>
        <v/>
      </c>
    </row>
    <row r="90" spans="1:35">
      <c r="A90" s="636" t="s">
        <v>179</v>
      </c>
      <c r="B90" s="637" t="s">
        <v>567</v>
      </c>
      <c r="C90" s="652"/>
      <c r="D90" s="652"/>
      <c r="E90" s="652"/>
      <c r="F90" s="653"/>
      <c r="G90" s="653"/>
      <c r="H90" s="653"/>
      <c r="I90" s="653"/>
      <c r="J90" s="653"/>
      <c r="K90" s="653"/>
      <c r="L90" s="653"/>
      <c r="M90" s="653"/>
      <c r="N90" s="653"/>
      <c r="O90" s="653"/>
      <c r="P90" s="639">
        <f t="shared" si="34"/>
        <v>0</v>
      </c>
      <c r="Q90" s="833">
        <f t="shared" si="22"/>
        <v>0</v>
      </c>
      <c r="R90" s="653"/>
      <c r="S90" s="653"/>
      <c r="T90" s="653"/>
      <c r="U90" s="653"/>
      <c r="V90" s="653"/>
      <c r="W90" s="653"/>
      <c r="X90" s="653"/>
      <c r="Y90" s="654">
        <f t="shared" si="35"/>
        <v>0</v>
      </c>
      <c r="Z90" s="642">
        <f t="shared" si="1"/>
        <v>0</v>
      </c>
      <c r="AA90" s="640"/>
      <c r="AB90" s="640"/>
      <c r="AC90" s="640"/>
      <c r="AD90" s="640"/>
      <c r="AE90" s="643"/>
      <c r="AF90" s="644">
        <f t="shared" si="2"/>
        <v>0</v>
      </c>
      <c r="AG90" s="642">
        <f t="shared" si="3"/>
        <v>0</v>
      </c>
      <c r="AH90" s="645" t="str">
        <f t="shared" si="5"/>
        <v/>
      </c>
      <c r="AI90" s="608" t="str">
        <f>IF('Component Unit Template'!$G$2="","",'Component Unit Template'!$G$2)</f>
        <v/>
      </c>
    </row>
    <row r="91" spans="1:35">
      <c r="A91" s="636" t="s">
        <v>179</v>
      </c>
      <c r="B91" s="637" t="s">
        <v>567</v>
      </c>
      <c r="C91" s="652"/>
      <c r="D91" s="652"/>
      <c r="E91" s="652"/>
      <c r="F91" s="653"/>
      <c r="G91" s="653"/>
      <c r="H91" s="653"/>
      <c r="I91" s="653"/>
      <c r="J91" s="653"/>
      <c r="K91" s="653"/>
      <c r="L91" s="653"/>
      <c r="M91" s="653"/>
      <c r="N91" s="653"/>
      <c r="O91" s="653"/>
      <c r="P91" s="639">
        <f t="shared" si="34"/>
        <v>0</v>
      </c>
      <c r="Q91" s="833">
        <f t="shared" si="22"/>
        <v>0</v>
      </c>
      <c r="R91" s="653"/>
      <c r="S91" s="653"/>
      <c r="T91" s="653"/>
      <c r="U91" s="653"/>
      <c r="V91" s="653"/>
      <c r="W91" s="653"/>
      <c r="X91" s="653"/>
      <c r="Y91" s="654">
        <f t="shared" si="35"/>
        <v>0</v>
      </c>
      <c r="Z91" s="642">
        <f t="shared" si="1"/>
        <v>0</v>
      </c>
      <c r="AA91" s="640"/>
      <c r="AB91" s="640"/>
      <c r="AC91" s="640"/>
      <c r="AD91" s="640"/>
      <c r="AE91" s="643"/>
      <c r="AF91" s="644">
        <f t="shared" si="2"/>
        <v>0</v>
      </c>
      <c r="AG91" s="642">
        <f t="shared" si="3"/>
        <v>0</v>
      </c>
      <c r="AH91" s="645" t="str">
        <f t="shared" si="5"/>
        <v/>
      </c>
      <c r="AI91" s="608" t="str">
        <f>IF('Component Unit Template'!$G$2="","",'Component Unit Template'!$G$2)</f>
        <v/>
      </c>
    </row>
    <row r="92" spans="1:35">
      <c r="A92" s="636"/>
      <c r="B92" s="608"/>
      <c r="C92" s="646"/>
      <c r="D92" s="608"/>
      <c r="E92" s="608"/>
      <c r="F92" s="608"/>
      <c r="G92" s="608"/>
      <c r="H92" s="608"/>
      <c r="I92" s="608"/>
      <c r="J92" s="608"/>
      <c r="K92" s="608"/>
      <c r="L92" s="608"/>
      <c r="M92" s="608"/>
      <c r="N92" s="608"/>
      <c r="O92" s="647"/>
      <c r="P92" s="608"/>
      <c r="Q92" s="608"/>
      <c r="R92" s="648"/>
      <c r="S92" s="648"/>
      <c r="T92" s="648"/>
      <c r="U92" s="648"/>
      <c r="V92" s="656"/>
      <c r="W92" s="656"/>
      <c r="X92" s="648"/>
      <c r="Y92" s="649"/>
      <c r="Z92" s="650"/>
      <c r="AA92" s="648"/>
      <c r="AB92" s="648"/>
      <c r="AC92" s="648"/>
      <c r="AD92" s="648"/>
      <c r="AE92" s="651"/>
      <c r="AF92" s="608"/>
      <c r="AG92" s="650"/>
      <c r="AH92" s="645"/>
      <c r="AI92" s="608"/>
    </row>
    <row r="93" spans="1:35">
      <c r="A93" s="636" t="s">
        <v>179</v>
      </c>
      <c r="B93" s="637" t="s">
        <v>1333</v>
      </c>
      <c r="C93" s="652"/>
      <c r="D93" s="652"/>
      <c r="E93" s="652"/>
      <c r="F93" s="653"/>
      <c r="G93" s="653"/>
      <c r="H93" s="653"/>
      <c r="I93" s="653"/>
      <c r="J93" s="653"/>
      <c r="K93" s="653"/>
      <c r="L93" s="653"/>
      <c r="M93" s="653"/>
      <c r="N93" s="653"/>
      <c r="O93" s="653"/>
      <c r="P93" s="639">
        <f t="shared" ref="P93:P97" si="36">IF(SUM(F93:O93)=SUM(R93:U93),SUM(F93:O93))</f>
        <v>0</v>
      </c>
      <c r="Q93" s="833">
        <f t="shared" si="22"/>
        <v>0</v>
      </c>
      <c r="R93" s="653"/>
      <c r="S93" s="653"/>
      <c r="T93" s="653"/>
      <c r="U93" s="653"/>
      <c r="V93" s="653"/>
      <c r="W93" s="653"/>
      <c r="X93" s="653"/>
      <c r="Y93" s="654">
        <f t="shared" ref="Y93" si="37">IF(SUM(R93:U93)=SUM(V93:X93), SUM(V93:X93),"Error")</f>
        <v>0</v>
      </c>
      <c r="Z93" s="642">
        <f t="shared" ref="Z93:Z97" si="38">SUM(R93:U93)-SUM(V93:X93)</f>
        <v>0</v>
      </c>
      <c r="AA93" s="640"/>
      <c r="AB93" s="640"/>
      <c r="AC93" s="640"/>
      <c r="AD93" s="640"/>
      <c r="AE93" s="643"/>
      <c r="AF93" s="644">
        <f t="shared" ref="AF93:AF97" si="39">IF(SUM(AA93:AE93)=Y93,SUM(AA93:AE93),"Error")</f>
        <v>0</v>
      </c>
      <c r="AG93" s="642">
        <f t="shared" ref="AG93:AG97" si="40">SUM(AA93:AE93)-Y93</f>
        <v>0</v>
      </c>
      <c r="AH93" s="645" t="str">
        <f t="shared" ref="AH93:AH97" si="41">IF(AND(P93=Y93,Y93=AF93),"","Error")</f>
        <v/>
      </c>
      <c r="AI93" s="608" t="str">
        <f>IF('Component Unit Template'!$G$2="","",'Component Unit Template'!$G$2)</f>
        <v/>
      </c>
    </row>
    <row r="94" spans="1:35">
      <c r="A94" s="636" t="s">
        <v>179</v>
      </c>
      <c r="B94" s="637" t="s">
        <v>1333</v>
      </c>
      <c r="C94" s="652"/>
      <c r="D94" s="652"/>
      <c r="E94" s="652"/>
      <c r="F94" s="653"/>
      <c r="G94" s="653"/>
      <c r="H94" s="653"/>
      <c r="I94" s="653"/>
      <c r="J94" s="653"/>
      <c r="K94" s="653"/>
      <c r="L94" s="653"/>
      <c r="M94" s="653"/>
      <c r="N94" s="653"/>
      <c r="O94" s="653"/>
      <c r="P94" s="639">
        <f t="shared" si="36"/>
        <v>0</v>
      </c>
      <c r="Q94" s="833">
        <f t="shared" si="22"/>
        <v>0</v>
      </c>
      <c r="R94" s="653"/>
      <c r="S94" s="653"/>
      <c r="T94" s="653"/>
      <c r="U94" s="653"/>
      <c r="V94" s="653"/>
      <c r="W94" s="653"/>
      <c r="X94" s="653"/>
      <c r="Y94" s="654">
        <f t="shared" ref="Y94:Y97" si="42">IF(SUM(R94:U94)=SUM(V94:X94), SUM(V94:X94),"Error")</f>
        <v>0</v>
      </c>
      <c r="Z94" s="642">
        <f t="shared" si="38"/>
        <v>0</v>
      </c>
      <c r="AA94" s="640"/>
      <c r="AB94" s="640"/>
      <c r="AC94" s="640"/>
      <c r="AD94" s="640"/>
      <c r="AE94" s="643"/>
      <c r="AF94" s="644">
        <f t="shared" si="39"/>
        <v>0</v>
      </c>
      <c r="AG94" s="642">
        <f t="shared" si="40"/>
        <v>0</v>
      </c>
      <c r="AH94" s="645" t="str">
        <f t="shared" si="41"/>
        <v/>
      </c>
      <c r="AI94" s="608" t="str">
        <f>IF('Component Unit Template'!$G$2="","",'Component Unit Template'!$G$2)</f>
        <v/>
      </c>
    </row>
    <row r="95" spans="1:35">
      <c r="A95" s="636" t="s">
        <v>179</v>
      </c>
      <c r="B95" s="637" t="s">
        <v>1333</v>
      </c>
      <c r="C95" s="652"/>
      <c r="D95" s="652"/>
      <c r="E95" s="652"/>
      <c r="F95" s="653"/>
      <c r="G95" s="653"/>
      <c r="H95" s="653"/>
      <c r="I95" s="653"/>
      <c r="J95" s="653"/>
      <c r="K95" s="653"/>
      <c r="L95" s="653"/>
      <c r="M95" s="653"/>
      <c r="N95" s="653"/>
      <c r="O95" s="653"/>
      <c r="P95" s="639">
        <f t="shared" si="36"/>
        <v>0</v>
      </c>
      <c r="Q95" s="833">
        <f t="shared" si="22"/>
        <v>0</v>
      </c>
      <c r="R95" s="653"/>
      <c r="S95" s="653"/>
      <c r="T95" s="653"/>
      <c r="U95" s="653"/>
      <c r="V95" s="653"/>
      <c r="W95" s="653"/>
      <c r="X95" s="653"/>
      <c r="Y95" s="654">
        <f t="shared" si="42"/>
        <v>0</v>
      </c>
      <c r="Z95" s="642">
        <f t="shared" si="38"/>
        <v>0</v>
      </c>
      <c r="AA95" s="640"/>
      <c r="AB95" s="640"/>
      <c r="AC95" s="640"/>
      <c r="AD95" s="640"/>
      <c r="AE95" s="643"/>
      <c r="AF95" s="644">
        <f t="shared" si="39"/>
        <v>0</v>
      </c>
      <c r="AG95" s="642">
        <f t="shared" si="40"/>
        <v>0</v>
      </c>
      <c r="AH95" s="645" t="str">
        <f t="shared" si="41"/>
        <v/>
      </c>
      <c r="AI95" s="608" t="str">
        <f>IF('Component Unit Template'!$G$2="","",'Component Unit Template'!$G$2)</f>
        <v/>
      </c>
    </row>
    <row r="96" spans="1:35">
      <c r="A96" s="636" t="s">
        <v>179</v>
      </c>
      <c r="B96" s="637" t="s">
        <v>1333</v>
      </c>
      <c r="C96" s="652"/>
      <c r="D96" s="652"/>
      <c r="E96" s="652"/>
      <c r="F96" s="653"/>
      <c r="G96" s="653"/>
      <c r="H96" s="653"/>
      <c r="I96" s="653"/>
      <c r="J96" s="653"/>
      <c r="K96" s="653"/>
      <c r="L96" s="653"/>
      <c r="M96" s="653"/>
      <c r="N96" s="653"/>
      <c r="O96" s="653"/>
      <c r="P96" s="639">
        <f t="shared" si="36"/>
        <v>0</v>
      </c>
      <c r="Q96" s="833">
        <f t="shared" si="22"/>
        <v>0</v>
      </c>
      <c r="R96" s="653"/>
      <c r="S96" s="653"/>
      <c r="T96" s="653"/>
      <c r="U96" s="653"/>
      <c r="V96" s="653"/>
      <c r="W96" s="653"/>
      <c r="X96" s="653"/>
      <c r="Y96" s="654">
        <f t="shared" si="42"/>
        <v>0</v>
      </c>
      <c r="Z96" s="642">
        <f t="shared" si="38"/>
        <v>0</v>
      </c>
      <c r="AA96" s="640"/>
      <c r="AB96" s="640"/>
      <c r="AC96" s="640"/>
      <c r="AD96" s="640"/>
      <c r="AE96" s="643"/>
      <c r="AF96" s="644">
        <f t="shared" si="39"/>
        <v>0</v>
      </c>
      <c r="AG96" s="642">
        <f t="shared" si="40"/>
        <v>0</v>
      </c>
      <c r="AH96" s="645" t="str">
        <f t="shared" si="41"/>
        <v/>
      </c>
      <c r="AI96" s="608" t="str">
        <f>IF('Component Unit Template'!$G$2="","",'Component Unit Template'!$G$2)</f>
        <v/>
      </c>
    </row>
    <row r="97" spans="1:35">
      <c r="A97" s="636" t="s">
        <v>179</v>
      </c>
      <c r="B97" s="637" t="s">
        <v>1333</v>
      </c>
      <c r="C97" s="652"/>
      <c r="D97" s="652"/>
      <c r="E97" s="652"/>
      <c r="F97" s="653"/>
      <c r="G97" s="653"/>
      <c r="H97" s="653"/>
      <c r="I97" s="653"/>
      <c r="J97" s="653"/>
      <c r="K97" s="653"/>
      <c r="L97" s="653"/>
      <c r="M97" s="653"/>
      <c r="N97" s="653"/>
      <c r="O97" s="653"/>
      <c r="P97" s="639">
        <f t="shared" si="36"/>
        <v>0</v>
      </c>
      <c r="Q97" s="833">
        <f t="shared" si="22"/>
        <v>0</v>
      </c>
      <c r="R97" s="653"/>
      <c r="S97" s="653"/>
      <c r="T97" s="653"/>
      <c r="U97" s="653"/>
      <c r="V97" s="653"/>
      <c r="W97" s="653"/>
      <c r="X97" s="653"/>
      <c r="Y97" s="654">
        <f t="shared" si="42"/>
        <v>0</v>
      </c>
      <c r="Z97" s="642">
        <f t="shared" si="38"/>
        <v>0</v>
      </c>
      <c r="AA97" s="640"/>
      <c r="AB97" s="640"/>
      <c r="AC97" s="640"/>
      <c r="AD97" s="640"/>
      <c r="AE97" s="643"/>
      <c r="AF97" s="644">
        <f t="shared" si="39"/>
        <v>0</v>
      </c>
      <c r="AG97" s="642">
        <f t="shared" si="40"/>
        <v>0</v>
      </c>
      <c r="AH97" s="645" t="str">
        <f t="shared" si="41"/>
        <v/>
      </c>
      <c r="AI97" s="608" t="str">
        <f>IF('Component Unit Template'!$G$2="","",'Component Unit Template'!$G$2)</f>
        <v/>
      </c>
    </row>
    <row r="98" spans="1:35">
      <c r="A98" s="636"/>
      <c r="B98" s="608"/>
      <c r="C98" s="646"/>
      <c r="D98" s="608"/>
      <c r="E98" s="608"/>
      <c r="F98" s="608"/>
      <c r="G98" s="608"/>
      <c r="H98" s="608"/>
      <c r="I98" s="608"/>
      <c r="J98" s="608"/>
      <c r="K98" s="608"/>
      <c r="L98" s="608"/>
      <c r="M98" s="608"/>
      <c r="N98" s="608"/>
      <c r="O98" s="647"/>
      <c r="P98" s="608"/>
      <c r="Q98" s="608"/>
      <c r="R98" s="648"/>
      <c r="S98" s="648"/>
      <c r="T98" s="648"/>
      <c r="U98" s="648"/>
      <c r="V98" s="656"/>
      <c r="W98" s="656"/>
      <c r="X98" s="648"/>
      <c r="Y98" s="649"/>
      <c r="Z98" s="650"/>
      <c r="AA98" s="648"/>
      <c r="AB98" s="648"/>
      <c r="AC98" s="648"/>
      <c r="AD98" s="648"/>
      <c r="AE98" s="651"/>
      <c r="AF98" s="608"/>
      <c r="AG98" s="650"/>
      <c r="AH98" s="645"/>
      <c r="AI98" s="608"/>
    </row>
    <row r="99" spans="1:35">
      <c r="A99" s="636" t="s">
        <v>179</v>
      </c>
      <c r="B99" s="637" t="s">
        <v>1334</v>
      </c>
      <c r="C99" s="652"/>
      <c r="D99" s="652"/>
      <c r="E99" s="652"/>
      <c r="F99" s="653"/>
      <c r="G99" s="653"/>
      <c r="H99" s="653"/>
      <c r="I99" s="653"/>
      <c r="J99" s="653"/>
      <c r="K99" s="653"/>
      <c r="L99" s="653"/>
      <c r="M99" s="653"/>
      <c r="N99" s="653"/>
      <c r="O99" s="653"/>
      <c r="P99" s="639">
        <f t="shared" ref="P99:P103" si="43">IF(SUM(F99:O99)=SUM(R99:U99),SUM(F99:O99))</f>
        <v>0</v>
      </c>
      <c r="Q99" s="833">
        <f t="shared" si="22"/>
        <v>0</v>
      </c>
      <c r="R99" s="653"/>
      <c r="S99" s="653"/>
      <c r="T99" s="653"/>
      <c r="U99" s="653"/>
      <c r="V99" s="653"/>
      <c r="W99" s="653"/>
      <c r="X99" s="653"/>
      <c r="Y99" s="654">
        <f t="shared" ref="Y99" si="44">IF(SUM(R99:U99)=SUM(V99:X99), SUM(V99:X99),"Error")</f>
        <v>0</v>
      </c>
      <c r="Z99" s="642">
        <f t="shared" ref="Z99:Z103" si="45">SUM(R99:U99)-SUM(V99:X99)</f>
        <v>0</v>
      </c>
      <c r="AA99" s="640"/>
      <c r="AB99" s="640"/>
      <c r="AC99" s="640"/>
      <c r="AD99" s="640"/>
      <c r="AE99" s="643"/>
      <c r="AF99" s="644">
        <f t="shared" ref="AF99:AF103" si="46">IF(SUM(AA99:AE99)=Y99,SUM(AA99:AE99),"Error")</f>
        <v>0</v>
      </c>
      <c r="AG99" s="642">
        <f t="shared" ref="AG99:AG103" si="47">SUM(AA99:AE99)-Y99</f>
        <v>0</v>
      </c>
      <c r="AH99" s="645" t="str">
        <f t="shared" ref="AH99:AH103" si="48">IF(AND(P99=Y99,Y99=AF99),"","Error")</f>
        <v/>
      </c>
      <c r="AI99" s="608" t="str">
        <f>IF('Component Unit Template'!$G$2="","",'Component Unit Template'!$G$2)</f>
        <v/>
      </c>
    </row>
    <row r="100" spans="1:35">
      <c r="A100" s="636" t="s">
        <v>179</v>
      </c>
      <c r="B100" s="637" t="s">
        <v>1334</v>
      </c>
      <c r="C100" s="652"/>
      <c r="D100" s="652"/>
      <c r="E100" s="652"/>
      <c r="F100" s="653"/>
      <c r="G100" s="653"/>
      <c r="H100" s="653"/>
      <c r="I100" s="653"/>
      <c r="J100" s="653"/>
      <c r="K100" s="653"/>
      <c r="L100" s="653"/>
      <c r="M100" s="653"/>
      <c r="N100" s="653"/>
      <c r="O100" s="653"/>
      <c r="P100" s="639">
        <f t="shared" si="43"/>
        <v>0</v>
      </c>
      <c r="Q100" s="833">
        <f t="shared" si="22"/>
        <v>0</v>
      </c>
      <c r="R100" s="653"/>
      <c r="S100" s="653"/>
      <c r="T100" s="653"/>
      <c r="U100" s="653"/>
      <c r="V100" s="653"/>
      <c r="W100" s="653"/>
      <c r="X100" s="653"/>
      <c r="Y100" s="654">
        <f t="shared" ref="Y100:Y103" si="49">IF(SUM(R100:U100)=SUM(V100:X100), SUM(V100:X100),"Error")</f>
        <v>0</v>
      </c>
      <c r="Z100" s="642">
        <f t="shared" si="45"/>
        <v>0</v>
      </c>
      <c r="AA100" s="640"/>
      <c r="AB100" s="640"/>
      <c r="AC100" s="640"/>
      <c r="AD100" s="640"/>
      <c r="AE100" s="643"/>
      <c r="AF100" s="644">
        <f t="shared" si="46"/>
        <v>0</v>
      </c>
      <c r="AG100" s="642">
        <f t="shared" si="47"/>
        <v>0</v>
      </c>
      <c r="AH100" s="645" t="str">
        <f t="shared" si="48"/>
        <v/>
      </c>
      <c r="AI100" s="608" t="str">
        <f>IF('Component Unit Template'!$G$2="","",'Component Unit Template'!$G$2)</f>
        <v/>
      </c>
    </row>
    <row r="101" spans="1:35">
      <c r="A101" s="636" t="s">
        <v>179</v>
      </c>
      <c r="B101" s="637" t="s">
        <v>1334</v>
      </c>
      <c r="C101" s="652"/>
      <c r="D101" s="652"/>
      <c r="E101" s="652"/>
      <c r="F101" s="653"/>
      <c r="G101" s="653"/>
      <c r="H101" s="653"/>
      <c r="I101" s="653"/>
      <c r="J101" s="653"/>
      <c r="K101" s="653"/>
      <c r="L101" s="653"/>
      <c r="M101" s="653"/>
      <c r="N101" s="653"/>
      <c r="O101" s="653"/>
      <c r="P101" s="639">
        <f t="shared" si="43"/>
        <v>0</v>
      </c>
      <c r="Q101" s="833">
        <f t="shared" si="22"/>
        <v>0</v>
      </c>
      <c r="R101" s="653"/>
      <c r="S101" s="653"/>
      <c r="T101" s="653"/>
      <c r="U101" s="653"/>
      <c r="V101" s="653"/>
      <c r="W101" s="653"/>
      <c r="X101" s="653"/>
      <c r="Y101" s="654">
        <f t="shared" si="49"/>
        <v>0</v>
      </c>
      <c r="Z101" s="642">
        <f t="shared" si="45"/>
        <v>0</v>
      </c>
      <c r="AA101" s="640"/>
      <c r="AB101" s="640"/>
      <c r="AC101" s="640"/>
      <c r="AD101" s="640"/>
      <c r="AE101" s="643"/>
      <c r="AF101" s="644">
        <f t="shared" si="46"/>
        <v>0</v>
      </c>
      <c r="AG101" s="642">
        <f t="shared" si="47"/>
        <v>0</v>
      </c>
      <c r="AH101" s="645" t="str">
        <f t="shared" si="48"/>
        <v/>
      </c>
      <c r="AI101" s="608" t="str">
        <f>IF('Component Unit Template'!$G$2="","",'Component Unit Template'!$G$2)</f>
        <v/>
      </c>
    </row>
    <row r="102" spans="1:35">
      <c r="A102" s="636" t="s">
        <v>179</v>
      </c>
      <c r="B102" s="637" t="s">
        <v>1334</v>
      </c>
      <c r="C102" s="652"/>
      <c r="D102" s="652"/>
      <c r="E102" s="652"/>
      <c r="F102" s="653"/>
      <c r="G102" s="653"/>
      <c r="H102" s="653"/>
      <c r="I102" s="653"/>
      <c r="J102" s="653"/>
      <c r="K102" s="653"/>
      <c r="L102" s="653"/>
      <c r="M102" s="653"/>
      <c r="N102" s="653"/>
      <c r="O102" s="653"/>
      <c r="P102" s="639">
        <f t="shared" si="43"/>
        <v>0</v>
      </c>
      <c r="Q102" s="833">
        <f t="shared" si="22"/>
        <v>0</v>
      </c>
      <c r="R102" s="653"/>
      <c r="S102" s="653"/>
      <c r="T102" s="653"/>
      <c r="U102" s="653"/>
      <c r="V102" s="653"/>
      <c r="W102" s="653"/>
      <c r="X102" s="653"/>
      <c r="Y102" s="654">
        <f t="shared" si="49"/>
        <v>0</v>
      </c>
      <c r="Z102" s="642">
        <f t="shared" si="45"/>
        <v>0</v>
      </c>
      <c r="AA102" s="640"/>
      <c r="AB102" s="640"/>
      <c r="AC102" s="640"/>
      <c r="AD102" s="640"/>
      <c r="AE102" s="643"/>
      <c r="AF102" s="644">
        <f t="shared" si="46"/>
        <v>0</v>
      </c>
      <c r="AG102" s="642">
        <f t="shared" si="47"/>
        <v>0</v>
      </c>
      <c r="AH102" s="645" t="str">
        <f t="shared" si="48"/>
        <v/>
      </c>
      <c r="AI102" s="608" t="str">
        <f>IF('Component Unit Template'!$G$2="","",'Component Unit Template'!$G$2)</f>
        <v/>
      </c>
    </row>
    <row r="103" spans="1:35">
      <c r="A103" s="636" t="s">
        <v>179</v>
      </c>
      <c r="B103" s="637" t="s">
        <v>1334</v>
      </c>
      <c r="C103" s="652"/>
      <c r="D103" s="652"/>
      <c r="E103" s="652"/>
      <c r="F103" s="653"/>
      <c r="G103" s="653"/>
      <c r="H103" s="653"/>
      <c r="I103" s="653"/>
      <c r="J103" s="653"/>
      <c r="K103" s="653"/>
      <c r="L103" s="653"/>
      <c r="M103" s="653"/>
      <c r="N103" s="653"/>
      <c r="O103" s="653"/>
      <c r="P103" s="639">
        <f t="shared" si="43"/>
        <v>0</v>
      </c>
      <c r="Q103" s="833">
        <f t="shared" si="22"/>
        <v>0</v>
      </c>
      <c r="R103" s="653"/>
      <c r="S103" s="653"/>
      <c r="T103" s="653"/>
      <c r="U103" s="653"/>
      <c r="V103" s="653"/>
      <c r="W103" s="653"/>
      <c r="X103" s="653"/>
      <c r="Y103" s="654">
        <f t="shared" si="49"/>
        <v>0</v>
      </c>
      <c r="Z103" s="642">
        <f t="shared" si="45"/>
        <v>0</v>
      </c>
      <c r="AA103" s="640"/>
      <c r="AB103" s="640"/>
      <c r="AC103" s="640"/>
      <c r="AD103" s="640"/>
      <c r="AE103" s="643"/>
      <c r="AF103" s="644">
        <f t="shared" si="46"/>
        <v>0</v>
      </c>
      <c r="AG103" s="642">
        <f t="shared" si="47"/>
        <v>0</v>
      </c>
      <c r="AH103" s="645" t="str">
        <f t="shared" si="48"/>
        <v/>
      </c>
      <c r="AI103" s="608" t="str">
        <f>IF('Component Unit Template'!$G$2="","",'Component Unit Template'!$G$2)</f>
        <v/>
      </c>
    </row>
    <row r="104" spans="1:35">
      <c r="A104" s="636"/>
      <c r="B104" s="608"/>
      <c r="C104" s="646"/>
      <c r="D104" s="608"/>
      <c r="E104" s="608"/>
      <c r="F104" s="608"/>
      <c r="G104" s="608"/>
      <c r="H104" s="608"/>
      <c r="I104" s="608"/>
      <c r="J104" s="608"/>
      <c r="K104" s="608"/>
      <c r="L104" s="608"/>
      <c r="M104" s="608"/>
      <c r="N104" s="608"/>
      <c r="O104" s="647"/>
      <c r="P104" s="608"/>
      <c r="Q104" s="608"/>
      <c r="R104" s="648"/>
      <c r="S104" s="648"/>
      <c r="T104" s="648"/>
      <c r="U104" s="648"/>
      <c r="V104" s="648"/>
      <c r="W104" s="648"/>
      <c r="X104" s="648"/>
      <c r="Y104" s="649"/>
      <c r="Z104" s="650"/>
      <c r="AA104" s="648"/>
      <c r="AB104" s="648"/>
      <c r="AC104" s="648"/>
      <c r="AD104" s="648"/>
      <c r="AE104" s="651"/>
      <c r="AF104" s="608"/>
      <c r="AG104" s="650"/>
      <c r="AH104" s="645"/>
      <c r="AI104" s="608"/>
    </row>
    <row r="105" spans="1:35">
      <c r="A105" s="636" t="s">
        <v>179</v>
      </c>
      <c r="B105" s="637" t="s">
        <v>177</v>
      </c>
      <c r="C105" s="652"/>
      <c r="D105" s="652"/>
      <c r="E105" s="652"/>
      <c r="F105" s="653"/>
      <c r="G105" s="653"/>
      <c r="H105" s="653"/>
      <c r="I105" s="653"/>
      <c r="J105" s="653"/>
      <c r="K105" s="653"/>
      <c r="L105" s="653"/>
      <c r="M105" s="653"/>
      <c r="N105" s="653"/>
      <c r="O105" s="653"/>
      <c r="P105" s="639">
        <f t="shared" ref="P105:P109" si="50">IF(SUM(F105:O105)=SUM(R105:U105),SUM(F105:O105))</f>
        <v>0</v>
      </c>
      <c r="Q105" s="833">
        <f t="shared" si="22"/>
        <v>0</v>
      </c>
      <c r="R105" s="653"/>
      <c r="S105" s="653"/>
      <c r="T105" s="653"/>
      <c r="U105" s="653"/>
      <c r="V105" s="653"/>
      <c r="W105" s="653"/>
      <c r="X105" s="653"/>
      <c r="Y105" s="654">
        <f t="shared" si="0"/>
        <v>0</v>
      </c>
      <c r="Z105" s="642">
        <f t="shared" si="1"/>
        <v>0</v>
      </c>
      <c r="AA105" s="640"/>
      <c r="AB105" s="640"/>
      <c r="AC105" s="640"/>
      <c r="AD105" s="640"/>
      <c r="AE105" s="643"/>
      <c r="AF105" s="644">
        <f t="shared" si="2"/>
        <v>0</v>
      </c>
      <c r="AG105" s="642">
        <f t="shared" si="3"/>
        <v>0</v>
      </c>
      <c r="AH105" s="645" t="str">
        <f t="shared" si="5"/>
        <v/>
      </c>
      <c r="AI105" s="608" t="str">
        <f>IF('Component Unit Template'!$G$2="","",'Component Unit Template'!$G$2)</f>
        <v/>
      </c>
    </row>
    <row r="106" spans="1:35">
      <c r="A106" s="636" t="s">
        <v>179</v>
      </c>
      <c r="B106" s="637" t="s">
        <v>177</v>
      </c>
      <c r="C106" s="652"/>
      <c r="D106" s="652"/>
      <c r="E106" s="652"/>
      <c r="F106" s="653"/>
      <c r="G106" s="653"/>
      <c r="H106" s="653"/>
      <c r="I106" s="653"/>
      <c r="J106" s="653"/>
      <c r="K106" s="653"/>
      <c r="L106" s="653"/>
      <c r="M106" s="653"/>
      <c r="N106" s="653"/>
      <c r="O106" s="653"/>
      <c r="P106" s="639">
        <f t="shared" si="50"/>
        <v>0</v>
      </c>
      <c r="Q106" s="833">
        <f t="shared" si="22"/>
        <v>0</v>
      </c>
      <c r="R106" s="653"/>
      <c r="S106" s="653"/>
      <c r="T106" s="653"/>
      <c r="U106" s="653"/>
      <c r="V106" s="653"/>
      <c r="W106" s="653"/>
      <c r="X106" s="653"/>
      <c r="Y106" s="654">
        <f t="shared" ref="Y106:Y109" si="51">IF(SUM(R106:U106)=SUM(V106:X106), SUM(V106:X106),"Error")</f>
        <v>0</v>
      </c>
      <c r="Z106" s="642">
        <f t="shared" ref="Z106:Z109" si="52">SUM(R106:U106)-SUM(V106:X106)</f>
        <v>0</v>
      </c>
      <c r="AA106" s="640"/>
      <c r="AB106" s="640"/>
      <c r="AC106" s="640"/>
      <c r="AD106" s="640"/>
      <c r="AE106" s="643"/>
      <c r="AF106" s="644">
        <f t="shared" si="2"/>
        <v>0</v>
      </c>
      <c r="AG106" s="642">
        <f t="shared" si="3"/>
        <v>0</v>
      </c>
      <c r="AH106" s="645" t="str">
        <f t="shared" ref="AH106:AH109" si="53">IF(AND(P106=Y106,Y106=AF106),"","Error")</f>
        <v/>
      </c>
      <c r="AI106" s="608" t="str">
        <f>IF('Component Unit Template'!$G$2="","",'Component Unit Template'!$G$2)</f>
        <v/>
      </c>
    </row>
    <row r="107" spans="1:35">
      <c r="A107" s="636" t="s">
        <v>179</v>
      </c>
      <c r="B107" s="637" t="s">
        <v>177</v>
      </c>
      <c r="C107" s="652"/>
      <c r="D107" s="652"/>
      <c r="E107" s="652"/>
      <c r="F107" s="653"/>
      <c r="G107" s="653"/>
      <c r="H107" s="653"/>
      <c r="I107" s="653"/>
      <c r="J107" s="653"/>
      <c r="K107" s="653"/>
      <c r="L107" s="653"/>
      <c r="M107" s="653"/>
      <c r="N107" s="653"/>
      <c r="O107" s="653"/>
      <c r="P107" s="639">
        <f t="shared" si="50"/>
        <v>0</v>
      </c>
      <c r="Q107" s="833">
        <f t="shared" si="22"/>
        <v>0</v>
      </c>
      <c r="R107" s="653"/>
      <c r="S107" s="653"/>
      <c r="T107" s="653"/>
      <c r="U107" s="653"/>
      <c r="V107" s="653"/>
      <c r="W107" s="653"/>
      <c r="X107" s="653"/>
      <c r="Y107" s="654">
        <f t="shared" si="51"/>
        <v>0</v>
      </c>
      <c r="Z107" s="642">
        <f t="shared" si="52"/>
        <v>0</v>
      </c>
      <c r="AA107" s="640"/>
      <c r="AB107" s="640"/>
      <c r="AC107" s="640"/>
      <c r="AD107" s="640"/>
      <c r="AE107" s="643"/>
      <c r="AF107" s="644">
        <f t="shared" si="2"/>
        <v>0</v>
      </c>
      <c r="AG107" s="642">
        <f t="shared" si="3"/>
        <v>0</v>
      </c>
      <c r="AH107" s="645" t="str">
        <f t="shared" si="53"/>
        <v/>
      </c>
      <c r="AI107" s="608" t="str">
        <f>IF('Component Unit Template'!$G$2="","",'Component Unit Template'!$G$2)</f>
        <v/>
      </c>
    </row>
    <row r="108" spans="1:35">
      <c r="A108" s="636" t="s">
        <v>179</v>
      </c>
      <c r="B108" s="637" t="s">
        <v>177</v>
      </c>
      <c r="C108" s="652"/>
      <c r="D108" s="652"/>
      <c r="E108" s="652"/>
      <c r="F108" s="653"/>
      <c r="G108" s="653"/>
      <c r="H108" s="653"/>
      <c r="I108" s="653"/>
      <c r="J108" s="653"/>
      <c r="K108" s="653"/>
      <c r="L108" s="653"/>
      <c r="M108" s="653"/>
      <c r="N108" s="653"/>
      <c r="O108" s="653"/>
      <c r="P108" s="639">
        <f t="shared" si="50"/>
        <v>0</v>
      </c>
      <c r="Q108" s="833">
        <f t="shared" si="22"/>
        <v>0</v>
      </c>
      <c r="R108" s="653"/>
      <c r="S108" s="653"/>
      <c r="T108" s="653"/>
      <c r="U108" s="653"/>
      <c r="V108" s="653"/>
      <c r="W108" s="653"/>
      <c r="X108" s="653"/>
      <c r="Y108" s="654">
        <f t="shared" si="51"/>
        <v>0</v>
      </c>
      <c r="Z108" s="642">
        <f t="shared" si="52"/>
        <v>0</v>
      </c>
      <c r="AA108" s="640"/>
      <c r="AB108" s="640"/>
      <c r="AC108" s="640"/>
      <c r="AD108" s="640"/>
      <c r="AE108" s="643"/>
      <c r="AF108" s="644">
        <f t="shared" si="2"/>
        <v>0</v>
      </c>
      <c r="AG108" s="642">
        <f t="shared" si="3"/>
        <v>0</v>
      </c>
      <c r="AH108" s="645" t="str">
        <f t="shared" si="53"/>
        <v/>
      </c>
      <c r="AI108" s="608" t="str">
        <f>IF('Component Unit Template'!$G$2="","",'Component Unit Template'!$G$2)</f>
        <v/>
      </c>
    </row>
    <row r="109" spans="1:35">
      <c r="A109" s="636" t="s">
        <v>179</v>
      </c>
      <c r="B109" s="637" t="s">
        <v>177</v>
      </c>
      <c r="C109" s="652"/>
      <c r="D109" s="652"/>
      <c r="E109" s="652"/>
      <c r="F109" s="653"/>
      <c r="G109" s="653"/>
      <c r="H109" s="653"/>
      <c r="I109" s="653"/>
      <c r="J109" s="653"/>
      <c r="K109" s="653"/>
      <c r="L109" s="653"/>
      <c r="M109" s="653"/>
      <c r="N109" s="653"/>
      <c r="O109" s="653"/>
      <c r="P109" s="639">
        <f t="shared" si="50"/>
        <v>0</v>
      </c>
      <c r="Q109" s="833">
        <f t="shared" si="22"/>
        <v>0</v>
      </c>
      <c r="R109" s="653"/>
      <c r="S109" s="653"/>
      <c r="T109" s="653"/>
      <c r="U109" s="653"/>
      <c r="V109" s="653"/>
      <c r="W109" s="653"/>
      <c r="X109" s="653"/>
      <c r="Y109" s="654">
        <f t="shared" si="51"/>
        <v>0</v>
      </c>
      <c r="Z109" s="642">
        <f t="shared" si="52"/>
        <v>0</v>
      </c>
      <c r="AA109" s="640"/>
      <c r="AB109" s="640"/>
      <c r="AC109" s="640"/>
      <c r="AD109" s="640"/>
      <c r="AE109" s="643"/>
      <c r="AF109" s="644">
        <f t="shared" si="2"/>
        <v>0</v>
      </c>
      <c r="AG109" s="642">
        <f t="shared" si="3"/>
        <v>0</v>
      </c>
      <c r="AH109" s="645" t="str">
        <f t="shared" si="53"/>
        <v/>
      </c>
      <c r="AI109" s="608" t="str">
        <f>IF('Component Unit Template'!$G$2="","",'Component Unit Template'!$G$2)</f>
        <v/>
      </c>
    </row>
    <row r="110" spans="1:35">
      <c r="A110" s="636"/>
      <c r="B110" s="608"/>
      <c r="C110" s="646"/>
      <c r="D110" s="608"/>
      <c r="E110" s="608"/>
      <c r="F110" s="608"/>
      <c r="G110" s="608"/>
      <c r="H110" s="608"/>
      <c r="I110" s="608"/>
      <c r="J110" s="608"/>
      <c r="K110" s="608"/>
      <c r="L110" s="608"/>
      <c r="M110" s="608"/>
      <c r="N110" s="608"/>
      <c r="O110" s="658"/>
      <c r="P110" s="608"/>
      <c r="Q110" s="608"/>
      <c r="R110" s="616"/>
      <c r="S110" s="616"/>
      <c r="T110" s="616"/>
      <c r="U110" s="616"/>
      <c r="V110" s="648"/>
      <c r="W110" s="648"/>
      <c r="X110" s="648"/>
      <c r="Y110" s="649"/>
      <c r="Z110" s="650"/>
      <c r="AA110" s="648"/>
      <c r="AB110" s="648"/>
      <c r="AC110" s="648"/>
      <c r="AD110" s="648"/>
      <c r="AE110" s="651"/>
      <c r="AF110" s="608"/>
      <c r="AG110" s="650"/>
      <c r="AH110" s="645"/>
      <c r="AI110" s="608"/>
    </row>
    <row r="111" spans="1:35">
      <c r="A111" s="636" t="s">
        <v>180</v>
      </c>
      <c r="B111" s="637" t="s">
        <v>568</v>
      </c>
      <c r="C111" s="652"/>
      <c r="D111" s="652"/>
      <c r="E111" s="652"/>
      <c r="F111" s="659"/>
      <c r="G111" s="659"/>
      <c r="H111" s="659"/>
      <c r="I111" s="660"/>
      <c r="J111" s="660"/>
      <c r="K111" s="660"/>
      <c r="L111" s="660"/>
      <c r="M111" s="660"/>
      <c r="N111" s="660"/>
      <c r="O111" s="660"/>
      <c r="P111" s="661"/>
      <c r="Q111" s="661"/>
      <c r="R111" s="637"/>
      <c r="S111" s="637"/>
      <c r="T111" s="637"/>
      <c r="U111" s="662"/>
      <c r="V111" s="653"/>
      <c r="W111" s="653"/>
      <c r="X111" s="653"/>
      <c r="Y111" s="654">
        <f t="shared" ref="Y111:Y146" si="54">SUM(V111:X111)</f>
        <v>0</v>
      </c>
      <c r="Z111" s="663"/>
      <c r="AA111" s="640"/>
      <c r="AB111" s="640"/>
      <c r="AC111" s="640"/>
      <c r="AD111" s="640"/>
      <c r="AE111" s="643"/>
      <c r="AF111" s="644">
        <f t="shared" si="2"/>
        <v>0</v>
      </c>
      <c r="AG111" s="642">
        <f t="shared" si="3"/>
        <v>0</v>
      </c>
      <c r="AH111" s="645"/>
      <c r="AI111" s="608" t="str">
        <f>IF('Component Unit Template'!$G$2="","",'Component Unit Template'!$G$2)</f>
        <v/>
      </c>
    </row>
    <row r="112" spans="1:35">
      <c r="A112" s="636" t="s">
        <v>180</v>
      </c>
      <c r="B112" s="637" t="s">
        <v>568</v>
      </c>
      <c r="C112" s="652"/>
      <c r="D112" s="652"/>
      <c r="E112" s="652"/>
      <c r="F112" s="659"/>
      <c r="G112" s="659"/>
      <c r="H112" s="659"/>
      <c r="I112" s="660"/>
      <c r="J112" s="660"/>
      <c r="K112" s="660"/>
      <c r="L112" s="660"/>
      <c r="M112" s="660"/>
      <c r="N112" s="660"/>
      <c r="O112" s="660"/>
      <c r="P112" s="661"/>
      <c r="Q112" s="661"/>
      <c r="R112" s="637"/>
      <c r="S112" s="637"/>
      <c r="T112" s="637"/>
      <c r="U112" s="662"/>
      <c r="V112" s="653"/>
      <c r="W112" s="653"/>
      <c r="X112" s="653"/>
      <c r="Y112" s="654">
        <f t="shared" si="54"/>
        <v>0</v>
      </c>
      <c r="Z112" s="663"/>
      <c r="AA112" s="640"/>
      <c r="AB112" s="640"/>
      <c r="AC112" s="640"/>
      <c r="AD112" s="640"/>
      <c r="AE112" s="643"/>
      <c r="AF112" s="644">
        <f t="shared" ref="AF112:AF115" si="55">IF(SUM(AA112:AE112)=Y112,SUM(AA112:AE112),"Error")</f>
        <v>0</v>
      </c>
      <c r="AG112" s="642">
        <f t="shared" si="3"/>
        <v>0</v>
      </c>
      <c r="AH112" s="645"/>
      <c r="AI112" s="608" t="str">
        <f>IF('Component Unit Template'!$G$2="","",'Component Unit Template'!$G$2)</f>
        <v/>
      </c>
    </row>
    <row r="113" spans="1:35">
      <c r="A113" s="636" t="s">
        <v>180</v>
      </c>
      <c r="B113" s="637" t="s">
        <v>568</v>
      </c>
      <c r="C113" s="652"/>
      <c r="D113" s="652"/>
      <c r="E113" s="652"/>
      <c r="F113" s="659"/>
      <c r="G113" s="659"/>
      <c r="H113" s="659"/>
      <c r="I113" s="660"/>
      <c r="J113" s="660"/>
      <c r="K113" s="660"/>
      <c r="L113" s="660"/>
      <c r="M113" s="660"/>
      <c r="N113" s="660"/>
      <c r="O113" s="660"/>
      <c r="P113" s="661"/>
      <c r="Q113" s="661"/>
      <c r="R113" s="637"/>
      <c r="S113" s="637"/>
      <c r="T113" s="637"/>
      <c r="U113" s="637"/>
      <c r="V113" s="653"/>
      <c r="W113" s="653"/>
      <c r="X113" s="653"/>
      <c r="Y113" s="654">
        <f t="shared" si="54"/>
        <v>0</v>
      </c>
      <c r="Z113" s="663"/>
      <c r="AA113" s="640"/>
      <c r="AB113" s="640"/>
      <c r="AC113" s="640"/>
      <c r="AD113" s="640"/>
      <c r="AE113" s="643"/>
      <c r="AF113" s="644">
        <f t="shared" si="55"/>
        <v>0</v>
      </c>
      <c r="AG113" s="642">
        <f t="shared" si="3"/>
        <v>0</v>
      </c>
      <c r="AH113" s="645"/>
      <c r="AI113" s="608" t="str">
        <f>IF('Component Unit Template'!$G$2="","",'Component Unit Template'!$G$2)</f>
        <v/>
      </c>
    </row>
    <row r="114" spans="1:35">
      <c r="A114" s="636" t="s">
        <v>180</v>
      </c>
      <c r="B114" s="637" t="s">
        <v>568</v>
      </c>
      <c r="C114" s="652"/>
      <c r="D114" s="652"/>
      <c r="E114" s="652"/>
      <c r="F114" s="659"/>
      <c r="G114" s="659"/>
      <c r="H114" s="659"/>
      <c r="I114" s="660"/>
      <c r="J114" s="660"/>
      <c r="K114" s="660"/>
      <c r="L114" s="660"/>
      <c r="M114" s="660"/>
      <c r="N114" s="660"/>
      <c r="O114" s="660"/>
      <c r="P114" s="661"/>
      <c r="Q114" s="661"/>
      <c r="R114" s="637"/>
      <c r="S114" s="637"/>
      <c r="T114" s="637"/>
      <c r="U114" s="637"/>
      <c r="V114" s="653"/>
      <c r="W114" s="653"/>
      <c r="X114" s="653"/>
      <c r="Y114" s="654">
        <f t="shared" si="54"/>
        <v>0</v>
      </c>
      <c r="Z114" s="663"/>
      <c r="AA114" s="640"/>
      <c r="AB114" s="640"/>
      <c r="AC114" s="640"/>
      <c r="AD114" s="640"/>
      <c r="AE114" s="643"/>
      <c r="AF114" s="644">
        <f t="shared" si="55"/>
        <v>0</v>
      </c>
      <c r="AG114" s="642">
        <f t="shared" si="3"/>
        <v>0</v>
      </c>
      <c r="AH114" s="645"/>
      <c r="AI114" s="608" t="str">
        <f>IF('Component Unit Template'!$G$2="","",'Component Unit Template'!$G$2)</f>
        <v/>
      </c>
    </row>
    <row r="115" spans="1:35">
      <c r="A115" s="636" t="s">
        <v>180</v>
      </c>
      <c r="B115" s="637" t="s">
        <v>568</v>
      </c>
      <c r="C115" s="652"/>
      <c r="D115" s="652"/>
      <c r="E115" s="652"/>
      <c r="F115" s="659"/>
      <c r="G115" s="659"/>
      <c r="H115" s="659"/>
      <c r="I115" s="660"/>
      <c r="J115" s="660"/>
      <c r="K115" s="660"/>
      <c r="L115" s="660"/>
      <c r="M115" s="660"/>
      <c r="N115" s="660"/>
      <c r="O115" s="660"/>
      <c r="P115" s="661"/>
      <c r="Q115" s="661"/>
      <c r="R115" s="637"/>
      <c r="S115" s="637"/>
      <c r="T115" s="637"/>
      <c r="U115" s="637"/>
      <c r="V115" s="653"/>
      <c r="W115" s="653"/>
      <c r="X115" s="653"/>
      <c r="Y115" s="654">
        <f t="shared" si="54"/>
        <v>0</v>
      </c>
      <c r="Z115" s="663"/>
      <c r="AA115" s="640"/>
      <c r="AB115" s="640"/>
      <c r="AC115" s="640"/>
      <c r="AD115" s="640"/>
      <c r="AE115" s="643"/>
      <c r="AF115" s="644">
        <f t="shared" si="55"/>
        <v>0</v>
      </c>
      <c r="AG115" s="642">
        <f t="shared" si="3"/>
        <v>0</v>
      </c>
      <c r="AH115" s="645"/>
      <c r="AI115" s="608" t="str">
        <f>IF('Component Unit Template'!$G$2="","",'Component Unit Template'!$G$2)</f>
        <v/>
      </c>
    </row>
    <row r="116" spans="1:35">
      <c r="A116" s="636"/>
      <c r="B116" s="608"/>
      <c r="C116" s="646"/>
      <c r="D116" s="608"/>
      <c r="E116" s="608"/>
      <c r="F116" s="608"/>
      <c r="G116" s="608"/>
      <c r="H116" s="608"/>
      <c r="I116" s="608"/>
      <c r="J116" s="608"/>
      <c r="K116" s="608"/>
      <c r="L116" s="608"/>
      <c r="M116" s="608"/>
      <c r="N116" s="608"/>
      <c r="O116" s="658"/>
      <c r="P116" s="608"/>
      <c r="Q116" s="608"/>
      <c r="R116" s="608"/>
      <c r="S116" s="608"/>
      <c r="T116" s="608"/>
      <c r="U116" s="608"/>
      <c r="V116" s="648"/>
      <c r="W116" s="648"/>
      <c r="X116" s="648"/>
      <c r="Y116" s="649"/>
      <c r="Z116" s="650"/>
      <c r="AA116" s="648"/>
      <c r="AB116" s="648"/>
      <c r="AC116" s="648"/>
      <c r="AD116" s="648"/>
      <c r="AE116" s="651"/>
      <c r="AF116" s="608"/>
      <c r="AG116" s="650"/>
      <c r="AH116" s="645"/>
      <c r="AI116" s="608"/>
    </row>
    <row r="117" spans="1:35">
      <c r="A117" s="636" t="s">
        <v>180</v>
      </c>
      <c r="B117" s="637" t="s">
        <v>569</v>
      </c>
      <c r="C117" s="652"/>
      <c r="D117" s="652"/>
      <c r="E117" s="652"/>
      <c r="F117" s="659"/>
      <c r="G117" s="659"/>
      <c r="H117" s="659"/>
      <c r="I117" s="660"/>
      <c r="J117" s="660"/>
      <c r="K117" s="660"/>
      <c r="L117" s="660"/>
      <c r="M117" s="660"/>
      <c r="N117" s="660"/>
      <c r="O117" s="660"/>
      <c r="P117" s="661"/>
      <c r="Q117" s="661"/>
      <c r="R117" s="637"/>
      <c r="S117" s="637"/>
      <c r="T117" s="637"/>
      <c r="U117" s="637"/>
      <c r="V117" s="653"/>
      <c r="W117" s="653"/>
      <c r="X117" s="653"/>
      <c r="Y117" s="654">
        <f t="shared" si="54"/>
        <v>0</v>
      </c>
      <c r="Z117" s="663"/>
      <c r="AA117" s="640"/>
      <c r="AB117" s="640"/>
      <c r="AC117" s="640"/>
      <c r="AD117" s="640"/>
      <c r="AE117" s="643"/>
      <c r="AF117" s="644">
        <f t="shared" si="2"/>
        <v>0</v>
      </c>
      <c r="AG117" s="642">
        <f t="shared" si="3"/>
        <v>0</v>
      </c>
      <c r="AH117" s="645"/>
      <c r="AI117" s="608" t="str">
        <f>IF('Component Unit Template'!$G$2="","",'Component Unit Template'!$G$2)</f>
        <v/>
      </c>
    </row>
    <row r="118" spans="1:35">
      <c r="A118" s="636" t="s">
        <v>180</v>
      </c>
      <c r="B118" s="637" t="s">
        <v>569</v>
      </c>
      <c r="C118" s="652"/>
      <c r="D118" s="652"/>
      <c r="E118" s="652"/>
      <c r="F118" s="659"/>
      <c r="G118" s="659"/>
      <c r="H118" s="659"/>
      <c r="I118" s="660"/>
      <c r="J118" s="660"/>
      <c r="K118" s="660"/>
      <c r="L118" s="660"/>
      <c r="M118" s="660"/>
      <c r="N118" s="660"/>
      <c r="O118" s="660"/>
      <c r="P118" s="661"/>
      <c r="Q118" s="661"/>
      <c r="R118" s="637"/>
      <c r="S118" s="637"/>
      <c r="T118" s="637"/>
      <c r="U118" s="637"/>
      <c r="V118" s="653"/>
      <c r="W118" s="653"/>
      <c r="X118" s="653"/>
      <c r="Y118" s="654">
        <f t="shared" si="54"/>
        <v>0</v>
      </c>
      <c r="Z118" s="663"/>
      <c r="AA118" s="640"/>
      <c r="AB118" s="640"/>
      <c r="AC118" s="640"/>
      <c r="AD118" s="640"/>
      <c r="AE118" s="643"/>
      <c r="AF118" s="644">
        <f t="shared" ref="AF118:AF121" si="56">IF(SUM(AA118:AE118)=Y118,SUM(AA118:AE118),"Error")</f>
        <v>0</v>
      </c>
      <c r="AG118" s="642">
        <f t="shared" si="3"/>
        <v>0</v>
      </c>
      <c r="AH118" s="645"/>
      <c r="AI118" s="608" t="str">
        <f>IF('Component Unit Template'!$G$2="","",'Component Unit Template'!$G$2)</f>
        <v/>
      </c>
    </row>
    <row r="119" spans="1:35">
      <c r="A119" s="636" t="s">
        <v>180</v>
      </c>
      <c r="B119" s="637" t="s">
        <v>569</v>
      </c>
      <c r="C119" s="652"/>
      <c r="D119" s="652"/>
      <c r="E119" s="652"/>
      <c r="F119" s="659"/>
      <c r="G119" s="659"/>
      <c r="H119" s="659"/>
      <c r="I119" s="660"/>
      <c r="J119" s="660"/>
      <c r="K119" s="660"/>
      <c r="L119" s="660"/>
      <c r="M119" s="660"/>
      <c r="N119" s="660"/>
      <c r="O119" s="660"/>
      <c r="P119" s="661"/>
      <c r="Q119" s="661"/>
      <c r="R119" s="637"/>
      <c r="S119" s="637"/>
      <c r="T119" s="637"/>
      <c r="U119" s="637"/>
      <c r="V119" s="653"/>
      <c r="W119" s="653"/>
      <c r="X119" s="653"/>
      <c r="Y119" s="654">
        <f t="shared" si="54"/>
        <v>0</v>
      </c>
      <c r="Z119" s="663"/>
      <c r="AA119" s="640"/>
      <c r="AB119" s="640"/>
      <c r="AC119" s="640"/>
      <c r="AD119" s="640"/>
      <c r="AE119" s="643"/>
      <c r="AF119" s="644">
        <f t="shared" si="56"/>
        <v>0</v>
      </c>
      <c r="AG119" s="642">
        <f t="shared" si="3"/>
        <v>0</v>
      </c>
      <c r="AH119" s="645"/>
      <c r="AI119" s="608" t="str">
        <f>IF('Component Unit Template'!$G$2="","",'Component Unit Template'!$G$2)</f>
        <v/>
      </c>
    </row>
    <row r="120" spans="1:35">
      <c r="A120" s="636" t="s">
        <v>180</v>
      </c>
      <c r="B120" s="637" t="s">
        <v>569</v>
      </c>
      <c r="C120" s="652"/>
      <c r="D120" s="652"/>
      <c r="E120" s="652"/>
      <c r="F120" s="659"/>
      <c r="G120" s="659"/>
      <c r="H120" s="659"/>
      <c r="I120" s="660"/>
      <c r="J120" s="660"/>
      <c r="K120" s="660"/>
      <c r="L120" s="660"/>
      <c r="M120" s="660"/>
      <c r="N120" s="660"/>
      <c r="O120" s="660"/>
      <c r="P120" s="661"/>
      <c r="Q120" s="661"/>
      <c r="R120" s="637"/>
      <c r="S120" s="637"/>
      <c r="T120" s="637"/>
      <c r="U120" s="637"/>
      <c r="V120" s="653"/>
      <c r="W120" s="653"/>
      <c r="X120" s="653"/>
      <c r="Y120" s="654">
        <f t="shared" si="54"/>
        <v>0</v>
      </c>
      <c r="Z120" s="663"/>
      <c r="AA120" s="640"/>
      <c r="AB120" s="640"/>
      <c r="AC120" s="640"/>
      <c r="AD120" s="640"/>
      <c r="AE120" s="643"/>
      <c r="AF120" s="644">
        <f t="shared" si="56"/>
        <v>0</v>
      </c>
      <c r="AG120" s="642">
        <f t="shared" si="3"/>
        <v>0</v>
      </c>
      <c r="AH120" s="645"/>
      <c r="AI120" s="608" t="str">
        <f>IF('Component Unit Template'!$G$2="","",'Component Unit Template'!$G$2)</f>
        <v/>
      </c>
    </row>
    <row r="121" spans="1:35">
      <c r="A121" s="636" t="s">
        <v>180</v>
      </c>
      <c r="B121" s="637" t="s">
        <v>569</v>
      </c>
      <c r="C121" s="652"/>
      <c r="D121" s="652"/>
      <c r="E121" s="652"/>
      <c r="F121" s="659"/>
      <c r="G121" s="659"/>
      <c r="H121" s="659"/>
      <c r="I121" s="660"/>
      <c r="J121" s="660"/>
      <c r="K121" s="660"/>
      <c r="L121" s="660"/>
      <c r="M121" s="660"/>
      <c r="N121" s="660"/>
      <c r="O121" s="660"/>
      <c r="P121" s="661"/>
      <c r="Q121" s="661"/>
      <c r="R121" s="637"/>
      <c r="S121" s="637"/>
      <c r="T121" s="637"/>
      <c r="U121" s="637"/>
      <c r="V121" s="653"/>
      <c r="W121" s="653"/>
      <c r="X121" s="653"/>
      <c r="Y121" s="654">
        <f t="shared" si="54"/>
        <v>0</v>
      </c>
      <c r="Z121" s="663"/>
      <c r="AA121" s="640"/>
      <c r="AB121" s="640"/>
      <c r="AC121" s="640"/>
      <c r="AD121" s="640"/>
      <c r="AE121" s="643"/>
      <c r="AF121" s="644">
        <f t="shared" si="56"/>
        <v>0</v>
      </c>
      <c r="AG121" s="642">
        <f t="shared" si="3"/>
        <v>0</v>
      </c>
      <c r="AH121" s="645"/>
      <c r="AI121" s="608" t="str">
        <f>IF('Component Unit Template'!$G$2="","",'Component Unit Template'!$G$2)</f>
        <v/>
      </c>
    </row>
    <row r="122" spans="1:35">
      <c r="A122" s="636"/>
      <c r="B122" s="608"/>
      <c r="C122" s="646"/>
      <c r="D122" s="608"/>
      <c r="E122" s="608"/>
      <c r="F122" s="608"/>
      <c r="G122" s="608"/>
      <c r="H122" s="608"/>
      <c r="I122" s="608"/>
      <c r="J122" s="608"/>
      <c r="K122" s="608"/>
      <c r="L122" s="608"/>
      <c r="M122" s="608"/>
      <c r="N122" s="608"/>
      <c r="O122" s="658"/>
      <c r="P122" s="608"/>
      <c r="Q122" s="608"/>
      <c r="R122" s="608"/>
      <c r="S122" s="608"/>
      <c r="T122" s="608"/>
      <c r="U122" s="608"/>
      <c r="V122" s="648"/>
      <c r="W122" s="648"/>
      <c r="X122" s="648"/>
      <c r="Y122" s="649"/>
      <c r="Z122" s="650"/>
      <c r="AA122" s="648"/>
      <c r="AB122" s="648"/>
      <c r="AC122" s="648"/>
      <c r="AD122" s="648"/>
      <c r="AE122" s="651"/>
      <c r="AF122" s="608"/>
      <c r="AG122" s="650"/>
      <c r="AH122" s="645"/>
      <c r="AI122" s="608"/>
    </row>
    <row r="123" spans="1:35">
      <c r="A123" s="636" t="s">
        <v>180</v>
      </c>
      <c r="B123" s="637" t="s">
        <v>570</v>
      </c>
      <c r="C123" s="652"/>
      <c r="D123" s="652"/>
      <c r="E123" s="652"/>
      <c r="F123" s="659"/>
      <c r="G123" s="659"/>
      <c r="H123" s="659"/>
      <c r="I123" s="660"/>
      <c r="J123" s="660"/>
      <c r="K123" s="660"/>
      <c r="L123" s="660"/>
      <c r="M123" s="660"/>
      <c r="N123" s="660"/>
      <c r="O123" s="660"/>
      <c r="P123" s="661"/>
      <c r="Q123" s="661"/>
      <c r="R123" s="637"/>
      <c r="S123" s="637"/>
      <c r="T123" s="637"/>
      <c r="U123" s="637"/>
      <c r="V123" s="653"/>
      <c r="W123" s="653"/>
      <c r="X123" s="653"/>
      <c r="Y123" s="654">
        <f t="shared" si="54"/>
        <v>0</v>
      </c>
      <c r="Z123" s="663"/>
      <c r="AA123" s="640"/>
      <c r="AB123" s="640"/>
      <c r="AC123" s="640"/>
      <c r="AD123" s="640"/>
      <c r="AE123" s="643"/>
      <c r="AF123" s="644">
        <f t="shared" si="2"/>
        <v>0</v>
      </c>
      <c r="AG123" s="642">
        <f t="shared" si="3"/>
        <v>0</v>
      </c>
      <c r="AH123" s="645"/>
      <c r="AI123" s="608" t="str">
        <f>IF('Component Unit Template'!$G$2="","",'Component Unit Template'!$G$2)</f>
        <v/>
      </c>
    </row>
    <row r="124" spans="1:35">
      <c r="A124" s="636" t="s">
        <v>180</v>
      </c>
      <c r="B124" s="637" t="s">
        <v>570</v>
      </c>
      <c r="C124" s="652"/>
      <c r="D124" s="652"/>
      <c r="E124" s="652"/>
      <c r="F124" s="659"/>
      <c r="G124" s="659"/>
      <c r="H124" s="659"/>
      <c r="I124" s="660"/>
      <c r="J124" s="660"/>
      <c r="K124" s="660"/>
      <c r="L124" s="660"/>
      <c r="M124" s="660"/>
      <c r="N124" s="660"/>
      <c r="O124" s="660"/>
      <c r="P124" s="661"/>
      <c r="Q124" s="661"/>
      <c r="R124" s="637"/>
      <c r="S124" s="637"/>
      <c r="T124" s="637"/>
      <c r="U124" s="637"/>
      <c r="V124" s="653"/>
      <c r="W124" s="653"/>
      <c r="X124" s="653"/>
      <c r="Y124" s="654">
        <f t="shared" si="54"/>
        <v>0</v>
      </c>
      <c r="Z124" s="663"/>
      <c r="AA124" s="640"/>
      <c r="AB124" s="640"/>
      <c r="AC124" s="640"/>
      <c r="AD124" s="640"/>
      <c r="AE124" s="643"/>
      <c r="AF124" s="644">
        <f t="shared" ref="AF124:AF127" si="57">IF(SUM(AA124:AE124)=Y124,SUM(AA124:AE124),"Error")</f>
        <v>0</v>
      </c>
      <c r="AG124" s="642">
        <f t="shared" si="3"/>
        <v>0</v>
      </c>
      <c r="AH124" s="645"/>
      <c r="AI124" s="608" t="str">
        <f>IF('Component Unit Template'!$G$2="","",'Component Unit Template'!$G$2)</f>
        <v/>
      </c>
    </row>
    <row r="125" spans="1:35">
      <c r="A125" s="636" t="s">
        <v>180</v>
      </c>
      <c r="B125" s="637" t="s">
        <v>570</v>
      </c>
      <c r="C125" s="652"/>
      <c r="D125" s="652"/>
      <c r="E125" s="652"/>
      <c r="F125" s="659"/>
      <c r="G125" s="659"/>
      <c r="H125" s="659"/>
      <c r="I125" s="660"/>
      <c r="J125" s="660"/>
      <c r="K125" s="660"/>
      <c r="L125" s="660"/>
      <c r="M125" s="660"/>
      <c r="N125" s="660"/>
      <c r="O125" s="660"/>
      <c r="P125" s="661"/>
      <c r="Q125" s="661"/>
      <c r="R125" s="637"/>
      <c r="S125" s="637"/>
      <c r="T125" s="637"/>
      <c r="U125" s="637"/>
      <c r="V125" s="653"/>
      <c r="W125" s="653"/>
      <c r="X125" s="653"/>
      <c r="Y125" s="654">
        <f t="shared" si="54"/>
        <v>0</v>
      </c>
      <c r="Z125" s="663"/>
      <c r="AA125" s="640"/>
      <c r="AB125" s="640"/>
      <c r="AC125" s="640"/>
      <c r="AD125" s="640"/>
      <c r="AE125" s="643"/>
      <c r="AF125" s="644">
        <f t="shared" si="57"/>
        <v>0</v>
      </c>
      <c r="AG125" s="642">
        <f t="shared" si="3"/>
        <v>0</v>
      </c>
      <c r="AH125" s="645"/>
      <c r="AI125" s="608" t="str">
        <f>IF('Component Unit Template'!$G$2="","",'Component Unit Template'!$G$2)</f>
        <v/>
      </c>
    </row>
    <row r="126" spans="1:35">
      <c r="A126" s="636" t="s">
        <v>180</v>
      </c>
      <c r="B126" s="637" t="s">
        <v>570</v>
      </c>
      <c r="C126" s="652"/>
      <c r="D126" s="652"/>
      <c r="E126" s="652"/>
      <c r="F126" s="659"/>
      <c r="G126" s="659"/>
      <c r="H126" s="659"/>
      <c r="I126" s="660"/>
      <c r="J126" s="660"/>
      <c r="K126" s="660"/>
      <c r="L126" s="660"/>
      <c r="M126" s="660"/>
      <c r="N126" s="660"/>
      <c r="O126" s="660"/>
      <c r="P126" s="661"/>
      <c r="Q126" s="661"/>
      <c r="R126" s="637"/>
      <c r="S126" s="637"/>
      <c r="T126" s="637"/>
      <c r="U126" s="637"/>
      <c r="V126" s="653"/>
      <c r="W126" s="653"/>
      <c r="X126" s="653"/>
      <c r="Y126" s="654">
        <f t="shared" si="54"/>
        <v>0</v>
      </c>
      <c r="Z126" s="663"/>
      <c r="AA126" s="640"/>
      <c r="AB126" s="640"/>
      <c r="AC126" s="640"/>
      <c r="AD126" s="640"/>
      <c r="AE126" s="643"/>
      <c r="AF126" s="644">
        <f t="shared" si="57"/>
        <v>0</v>
      </c>
      <c r="AG126" s="642">
        <f t="shared" si="3"/>
        <v>0</v>
      </c>
      <c r="AH126" s="645"/>
      <c r="AI126" s="608" t="str">
        <f>IF('Component Unit Template'!$G$2="","",'Component Unit Template'!$G$2)</f>
        <v/>
      </c>
    </row>
    <row r="127" spans="1:35">
      <c r="A127" s="636" t="s">
        <v>180</v>
      </c>
      <c r="B127" s="637" t="s">
        <v>570</v>
      </c>
      <c r="C127" s="652"/>
      <c r="D127" s="652"/>
      <c r="E127" s="652"/>
      <c r="F127" s="659"/>
      <c r="G127" s="659"/>
      <c r="H127" s="659"/>
      <c r="I127" s="660"/>
      <c r="J127" s="660"/>
      <c r="K127" s="660"/>
      <c r="L127" s="660"/>
      <c r="M127" s="660"/>
      <c r="N127" s="660"/>
      <c r="O127" s="660"/>
      <c r="P127" s="661"/>
      <c r="Q127" s="661"/>
      <c r="R127" s="637"/>
      <c r="S127" s="637"/>
      <c r="T127" s="637"/>
      <c r="U127" s="637"/>
      <c r="V127" s="653"/>
      <c r="W127" s="653"/>
      <c r="X127" s="653"/>
      <c r="Y127" s="654">
        <f t="shared" si="54"/>
        <v>0</v>
      </c>
      <c r="Z127" s="663"/>
      <c r="AA127" s="640"/>
      <c r="AB127" s="640"/>
      <c r="AC127" s="640"/>
      <c r="AD127" s="640"/>
      <c r="AE127" s="643"/>
      <c r="AF127" s="644">
        <f t="shared" si="57"/>
        <v>0</v>
      </c>
      <c r="AG127" s="642">
        <f t="shared" si="3"/>
        <v>0</v>
      </c>
      <c r="AH127" s="645"/>
      <c r="AI127" s="608" t="str">
        <f>IF('Component Unit Template'!$G$2="","",'Component Unit Template'!$G$2)</f>
        <v/>
      </c>
    </row>
    <row r="128" spans="1:35">
      <c r="A128" s="636"/>
      <c r="B128" s="608"/>
      <c r="C128" s="646"/>
      <c r="D128" s="608"/>
      <c r="E128" s="608"/>
      <c r="F128" s="608"/>
      <c r="G128" s="608"/>
      <c r="H128" s="608"/>
      <c r="I128" s="608"/>
      <c r="J128" s="608"/>
      <c r="K128" s="608"/>
      <c r="L128" s="608"/>
      <c r="M128" s="608"/>
      <c r="N128" s="608"/>
      <c r="O128" s="658"/>
      <c r="P128" s="608"/>
      <c r="Q128" s="608"/>
      <c r="R128" s="608"/>
      <c r="S128" s="608"/>
      <c r="T128" s="608"/>
      <c r="U128" s="608"/>
      <c r="V128" s="648"/>
      <c r="W128" s="648"/>
      <c r="X128" s="648"/>
      <c r="Y128" s="649"/>
      <c r="Z128" s="650"/>
      <c r="AA128" s="648"/>
      <c r="AB128" s="648"/>
      <c r="AC128" s="648"/>
      <c r="AD128" s="648"/>
      <c r="AE128" s="651"/>
      <c r="AF128" s="608"/>
      <c r="AG128" s="650"/>
      <c r="AH128" s="645"/>
      <c r="AI128" s="608"/>
    </row>
    <row r="129" spans="1:35">
      <c r="A129" s="636" t="s">
        <v>180</v>
      </c>
      <c r="B129" s="637" t="s">
        <v>1333</v>
      </c>
      <c r="C129" s="652"/>
      <c r="D129" s="652"/>
      <c r="E129" s="652"/>
      <c r="F129" s="659"/>
      <c r="G129" s="659"/>
      <c r="H129" s="659"/>
      <c r="I129" s="660"/>
      <c r="J129" s="660"/>
      <c r="K129" s="660"/>
      <c r="L129" s="660"/>
      <c r="M129" s="660"/>
      <c r="N129" s="660"/>
      <c r="O129" s="660"/>
      <c r="P129" s="661"/>
      <c r="Q129" s="661"/>
      <c r="R129" s="637"/>
      <c r="S129" s="637"/>
      <c r="T129" s="637"/>
      <c r="U129" s="637"/>
      <c r="V129" s="653"/>
      <c r="W129" s="653"/>
      <c r="X129" s="653"/>
      <c r="Y129" s="654">
        <f t="shared" si="54"/>
        <v>0</v>
      </c>
      <c r="Z129" s="663"/>
      <c r="AA129" s="640"/>
      <c r="AB129" s="640"/>
      <c r="AC129" s="640"/>
      <c r="AD129" s="640"/>
      <c r="AE129" s="643"/>
      <c r="AF129" s="644">
        <f t="shared" si="2"/>
        <v>0</v>
      </c>
      <c r="AG129" s="642">
        <f t="shared" si="3"/>
        <v>0</v>
      </c>
      <c r="AH129" s="645"/>
      <c r="AI129" s="608" t="str">
        <f>IF('Component Unit Template'!$G$2="","",'Component Unit Template'!$G$2)</f>
        <v/>
      </c>
    </row>
    <row r="130" spans="1:35">
      <c r="A130" s="636" t="s">
        <v>180</v>
      </c>
      <c r="B130" s="637" t="s">
        <v>1333</v>
      </c>
      <c r="C130" s="652"/>
      <c r="D130" s="652"/>
      <c r="E130" s="652"/>
      <c r="F130" s="659"/>
      <c r="G130" s="659"/>
      <c r="H130" s="659"/>
      <c r="I130" s="660"/>
      <c r="J130" s="660"/>
      <c r="K130" s="660"/>
      <c r="L130" s="660"/>
      <c r="M130" s="660"/>
      <c r="N130" s="660"/>
      <c r="O130" s="660"/>
      <c r="P130" s="661"/>
      <c r="Q130" s="661"/>
      <c r="R130" s="637"/>
      <c r="S130" s="637"/>
      <c r="T130" s="637"/>
      <c r="U130" s="637"/>
      <c r="V130" s="653"/>
      <c r="W130" s="653"/>
      <c r="X130" s="653"/>
      <c r="Y130" s="654">
        <f t="shared" si="54"/>
        <v>0</v>
      </c>
      <c r="Z130" s="663"/>
      <c r="AA130" s="640"/>
      <c r="AB130" s="640"/>
      <c r="AC130" s="640"/>
      <c r="AD130" s="640"/>
      <c r="AE130" s="643"/>
      <c r="AF130" s="644">
        <f t="shared" ref="AF130:AF133" si="58">IF(SUM(AA130:AE130)=Y130,SUM(AA130:AE130),"Error")</f>
        <v>0</v>
      </c>
      <c r="AG130" s="642">
        <f t="shared" si="3"/>
        <v>0</v>
      </c>
      <c r="AH130" s="645"/>
      <c r="AI130" s="608" t="str">
        <f>IF('Component Unit Template'!$G$2="","",'Component Unit Template'!$G$2)</f>
        <v/>
      </c>
    </row>
    <row r="131" spans="1:35">
      <c r="A131" s="636" t="s">
        <v>180</v>
      </c>
      <c r="B131" s="637" t="s">
        <v>1333</v>
      </c>
      <c r="C131" s="652"/>
      <c r="D131" s="652"/>
      <c r="E131" s="652"/>
      <c r="F131" s="659"/>
      <c r="G131" s="659"/>
      <c r="H131" s="659"/>
      <c r="I131" s="660"/>
      <c r="J131" s="660"/>
      <c r="K131" s="660"/>
      <c r="L131" s="660"/>
      <c r="M131" s="660"/>
      <c r="N131" s="660"/>
      <c r="O131" s="660"/>
      <c r="P131" s="661"/>
      <c r="Q131" s="661"/>
      <c r="R131" s="637"/>
      <c r="S131" s="637"/>
      <c r="T131" s="637"/>
      <c r="U131" s="637"/>
      <c r="V131" s="653"/>
      <c r="W131" s="653"/>
      <c r="X131" s="653"/>
      <c r="Y131" s="654">
        <f t="shared" si="54"/>
        <v>0</v>
      </c>
      <c r="Z131" s="663"/>
      <c r="AA131" s="640"/>
      <c r="AB131" s="640"/>
      <c r="AC131" s="640"/>
      <c r="AD131" s="640"/>
      <c r="AE131" s="643"/>
      <c r="AF131" s="644">
        <f t="shared" si="58"/>
        <v>0</v>
      </c>
      <c r="AG131" s="642">
        <f t="shared" si="3"/>
        <v>0</v>
      </c>
      <c r="AH131" s="645"/>
      <c r="AI131" s="608" t="str">
        <f>IF('Component Unit Template'!$G$2="","",'Component Unit Template'!$G$2)</f>
        <v/>
      </c>
    </row>
    <row r="132" spans="1:35">
      <c r="A132" s="636" t="s">
        <v>180</v>
      </c>
      <c r="B132" s="637" t="s">
        <v>1333</v>
      </c>
      <c r="C132" s="652"/>
      <c r="D132" s="652"/>
      <c r="E132" s="652"/>
      <c r="F132" s="659"/>
      <c r="G132" s="659"/>
      <c r="H132" s="659"/>
      <c r="I132" s="660"/>
      <c r="J132" s="660"/>
      <c r="K132" s="660"/>
      <c r="L132" s="660"/>
      <c r="M132" s="660"/>
      <c r="N132" s="660"/>
      <c r="O132" s="660"/>
      <c r="P132" s="661"/>
      <c r="Q132" s="661"/>
      <c r="R132" s="637"/>
      <c r="S132" s="637"/>
      <c r="T132" s="637"/>
      <c r="U132" s="637"/>
      <c r="V132" s="653"/>
      <c r="W132" s="653"/>
      <c r="X132" s="653"/>
      <c r="Y132" s="654">
        <f t="shared" si="54"/>
        <v>0</v>
      </c>
      <c r="Z132" s="663"/>
      <c r="AA132" s="640"/>
      <c r="AB132" s="640"/>
      <c r="AC132" s="640"/>
      <c r="AD132" s="640"/>
      <c r="AE132" s="643"/>
      <c r="AF132" s="644">
        <f t="shared" si="58"/>
        <v>0</v>
      </c>
      <c r="AG132" s="642">
        <f t="shared" si="3"/>
        <v>0</v>
      </c>
      <c r="AH132" s="645"/>
      <c r="AI132" s="608" t="str">
        <f>IF('Component Unit Template'!$G$2="","",'Component Unit Template'!$G$2)</f>
        <v/>
      </c>
    </row>
    <row r="133" spans="1:35">
      <c r="A133" s="636" t="s">
        <v>180</v>
      </c>
      <c r="B133" s="637" t="s">
        <v>1333</v>
      </c>
      <c r="C133" s="652"/>
      <c r="D133" s="652"/>
      <c r="E133" s="652"/>
      <c r="F133" s="659"/>
      <c r="G133" s="659"/>
      <c r="H133" s="659"/>
      <c r="I133" s="660"/>
      <c r="J133" s="660"/>
      <c r="K133" s="660"/>
      <c r="L133" s="660"/>
      <c r="M133" s="660"/>
      <c r="N133" s="660"/>
      <c r="O133" s="660"/>
      <c r="P133" s="661"/>
      <c r="Q133" s="661"/>
      <c r="R133" s="637"/>
      <c r="S133" s="637"/>
      <c r="T133" s="637"/>
      <c r="U133" s="637"/>
      <c r="V133" s="653"/>
      <c r="W133" s="653"/>
      <c r="X133" s="653"/>
      <c r="Y133" s="654">
        <f t="shared" si="54"/>
        <v>0</v>
      </c>
      <c r="Z133" s="663"/>
      <c r="AA133" s="640"/>
      <c r="AB133" s="640"/>
      <c r="AC133" s="640"/>
      <c r="AD133" s="640"/>
      <c r="AE133" s="643"/>
      <c r="AF133" s="644">
        <f t="shared" si="58"/>
        <v>0</v>
      </c>
      <c r="AG133" s="642">
        <f t="shared" si="3"/>
        <v>0</v>
      </c>
      <c r="AH133" s="645"/>
      <c r="AI133" s="608" t="str">
        <f>IF('Component Unit Template'!$G$2="","",'Component Unit Template'!$G$2)</f>
        <v/>
      </c>
    </row>
    <row r="134" spans="1:35">
      <c r="A134" s="636"/>
      <c r="B134" s="608"/>
      <c r="C134" s="646"/>
      <c r="D134" s="608"/>
      <c r="E134" s="608"/>
      <c r="F134" s="608"/>
      <c r="G134" s="608"/>
      <c r="H134" s="608"/>
      <c r="I134" s="608"/>
      <c r="J134" s="608"/>
      <c r="K134" s="608"/>
      <c r="L134" s="608"/>
      <c r="M134" s="608"/>
      <c r="N134" s="608"/>
      <c r="O134" s="658"/>
      <c r="P134" s="608"/>
      <c r="Q134" s="608"/>
      <c r="R134" s="608"/>
      <c r="S134" s="608"/>
      <c r="T134" s="608"/>
      <c r="U134" s="608"/>
      <c r="V134" s="648"/>
      <c r="W134" s="648"/>
      <c r="X134" s="648"/>
      <c r="Y134" s="649"/>
      <c r="Z134" s="650"/>
      <c r="AA134" s="648"/>
      <c r="AB134" s="648"/>
      <c r="AC134" s="648"/>
      <c r="AD134" s="648"/>
      <c r="AE134" s="651"/>
      <c r="AF134" s="608"/>
      <c r="AG134" s="650"/>
      <c r="AH134" s="645"/>
      <c r="AI134" s="608"/>
    </row>
    <row r="135" spans="1:35">
      <c r="A135" s="636" t="s">
        <v>180</v>
      </c>
      <c r="B135" s="637" t="s">
        <v>571</v>
      </c>
      <c r="C135" s="652"/>
      <c r="D135" s="652"/>
      <c r="E135" s="652"/>
      <c r="F135" s="659"/>
      <c r="G135" s="659"/>
      <c r="H135" s="659"/>
      <c r="I135" s="660"/>
      <c r="J135" s="660"/>
      <c r="K135" s="660"/>
      <c r="L135" s="660"/>
      <c r="M135" s="660"/>
      <c r="N135" s="660"/>
      <c r="O135" s="660"/>
      <c r="P135" s="661"/>
      <c r="Q135" s="661"/>
      <c r="R135" s="637"/>
      <c r="S135" s="637"/>
      <c r="T135" s="637"/>
      <c r="U135" s="637"/>
      <c r="V135" s="653"/>
      <c r="W135" s="653"/>
      <c r="X135" s="653"/>
      <c r="Y135" s="654">
        <f t="shared" si="54"/>
        <v>0</v>
      </c>
      <c r="Z135" s="663"/>
      <c r="AA135" s="640"/>
      <c r="AB135" s="640"/>
      <c r="AC135" s="640"/>
      <c r="AD135" s="640"/>
      <c r="AE135" s="643"/>
      <c r="AF135" s="644">
        <f t="shared" si="2"/>
        <v>0</v>
      </c>
      <c r="AG135" s="642">
        <f t="shared" si="3"/>
        <v>0</v>
      </c>
      <c r="AH135" s="645"/>
      <c r="AI135" s="608" t="str">
        <f>IF('Component Unit Template'!$G$2="","",'Component Unit Template'!$G$2)</f>
        <v/>
      </c>
    </row>
    <row r="136" spans="1:35">
      <c r="A136" s="636" t="s">
        <v>180</v>
      </c>
      <c r="B136" s="637" t="s">
        <v>571</v>
      </c>
      <c r="C136" s="652"/>
      <c r="D136" s="652"/>
      <c r="E136" s="652"/>
      <c r="F136" s="659"/>
      <c r="G136" s="659"/>
      <c r="H136" s="659"/>
      <c r="I136" s="660"/>
      <c r="J136" s="660"/>
      <c r="K136" s="660"/>
      <c r="L136" s="660"/>
      <c r="M136" s="660"/>
      <c r="N136" s="660"/>
      <c r="O136" s="660"/>
      <c r="P136" s="661"/>
      <c r="Q136" s="661"/>
      <c r="R136" s="637"/>
      <c r="S136" s="637"/>
      <c r="T136" s="637"/>
      <c r="U136" s="637"/>
      <c r="V136" s="653"/>
      <c r="W136" s="653"/>
      <c r="X136" s="653"/>
      <c r="Y136" s="654">
        <f t="shared" si="54"/>
        <v>0</v>
      </c>
      <c r="Z136" s="663"/>
      <c r="AA136" s="640"/>
      <c r="AB136" s="640"/>
      <c r="AC136" s="640"/>
      <c r="AD136" s="640"/>
      <c r="AE136" s="643"/>
      <c r="AF136" s="644">
        <f t="shared" ref="AF136:AF140" si="59">IF(SUM(AA136:AE136)=Y136,SUM(AA136:AE136),"Error")</f>
        <v>0</v>
      </c>
      <c r="AG136" s="642">
        <f t="shared" si="3"/>
        <v>0</v>
      </c>
      <c r="AH136" s="645"/>
      <c r="AI136" s="608" t="str">
        <f>IF('Component Unit Template'!$G$2="","",'Component Unit Template'!$G$2)</f>
        <v/>
      </c>
    </row>
    <row r="137" spans="1:35">
      <c r="A137" s="636" t="s">
        <v>180</v>
      </c>
      <c r="B137" s="637" t="s">
        <v>571</v>
      </c>
      <c r="C137" s="652"/>
      <c r="D137" s="652"/>
      <c r="E137" s="652"/>
      <c r="F137" s="659"/>
      <c r="G137" s="659"/>
      <c r="H137" s="659"/>
      <c r="I137" s="660"/>
      <c r="J137" s="660"/>
      <c r="K137" s="660"/>
      <c r="L137" s="660"/>
      <c r="M137" s="660"/>
      <c r="N137" s="660"/>
      <c r="O137" s="660"/>
      <c r="P137" s="661"/>
      <c r="Q137" s="661"/>
      <c r="R137" s="637"/>
      <c r="S137" s="637"/>
      <c r="T137" s="637"/>
      <c r="U137" s="637"/>
      <c r="V137" s="653"/>
      <c r="W137" s="653"/>
      <c r="X137" s="653"/>
      <c r="Y137" s="654">
        <f t="shared" si="54"/>
        <v>0</v>
      </c>
      <c r="Z137" s="663"/>
      <c r="AA137" s="640"/>
      <c r="AB137" s="640"/>
      <c r="AC137" s="640"/>
      <c r="AD137" s="640"/>
      <c r="AE137" s="643"/>
      <c r="AF137" s="644">
        <f t="shared" si="59"/>
        <v>0</v>
      </c>
      <c r="AG137" s="642">
        <f t="shared" si="3"/>
        <v>0</v>
      </c>
      <c r="AH137" s="645"/>
      <c r="AI137" s="608" t="str">
        <f>IF('Component Unit Template'!$G$2="","",'Component Unit Template'!$G$2)</f>
        <v/>
      </c>
    </row>
    <row r="138" spans="1:35">
      <c r="A138" s="636" t="s">
        <v>180</v>
      </c>
      <c r="B138" s="637" t="s">
        <v>571</v>
      </c>
      <c r="C138" s="652"/>
      <c r="D138" s="652"/>
      <c r="E138" s="652"/>
      <c r="F138" s="659"/>
      <c r="G138" s="659"/>
      <c r="H138" s="659"/>
      <c r="I138" s="660"/>
      <c r="J138" s="660"/>
      <c r="K138" s="660"/>
      <c r="L138" s="660"/>
      <c r="M138" s="660"/>
      <c r="N138" s="660"/>
      <c r="O138" s="660"/>
      <c r="P138" s="661"/>
      <c r="Q138" s="661"/>
      <c r="R138" s="637"/>
      <c r="S138" s="637"/>
      <c r="T138" s="637"/>
      <c r="U138" s="637"/>
      <c r="V138" s="653"/>
      <c r="W138" s="653"/>
      <c r="X138" s="653"/>
      <c r="Y138" s="654">
        <f t="shared" si="54"/>
        <v>0</v>
      </c>
      <c r="Z138" s="663"/>
      <c r="AA138" s="640"/>
      <c r="AB138" s="640"/>
      <c r="AC138" s="640"/>
      <c r="AD138" s="640"/>
      <c r="AE138" s="643"/>
      <c r="AF138" s="644">
        <f t="shared" si="59"/>
        <v>0</v>
      </c>
      <c r="AG138" s="642">
        <f t="shared" si="3"/>
        <v>0</v>
      </c>
      <c r="AH138" s="645"/>
      <c r="AI138" s="608" t="str">
        <f>IF('Component Unit Template'!$G$2="","",'Component Unit Template'!$G$2)</f>
        <v/>
      </c>
    </row>
    <row r="139" spans="1:35">
      <c r="A139" s="636" t="s">
        <v>180</v>
      </c>
      <c r="B139" s="637" t="s">
        <v>571</v>
      </c>
      <c r="C139" s="652"/>
      <c r="D139" s="652"/>
      <c r="E139" s="652"/>
      <c r="F139" s="659"/>
      <c r="G139" s="659"/>
      <c r="H139" s="659"/>
      <c r="I139" s="660"/>
      <c r="J139" s="660"/>
      <c r="K139" s="660"/>
      <c r="L139" s="660"/>
      <c r="M139" s="660"/>
      <c r="N139" s="660"/>
      <c r="O139" s="660"/>
      <c r="P139" s="661"/>
      <c r="Q139" s="661"/>
      <c r="R139" s="637"/>
      <c r="S139" s="637"/>
      <c r="T139" s="637"/>
      <c r="U139" s="637"/>
      <c r="V139" s="653"/>
      <c r="W139" s="653"/>
      <c r="X139" s="653"/>
      <c r="Y139" s="654">
        <f t="shared" si="54"/>
        <v>0</v>
      </c>
      <c r="Z139" s="663"/>
      <c r="AA139" s="640"/>
      <c r="AB139" s="640"/>
      <c r="AC139" s="640"/>
      <c r="AD139" s="640"/>
      <c r="AE139" s="643"/>
      <c r="AF139" s="644">
        <f t="shared" si="59"/>
        <v>0</v>
      </c>
      <c r="AG139" s="642">
        <f t="shared" si="3"/>
        <v>0</v>
      </c>
      <c r="AH139" s="645"/>
      <c r="AI139" s="608" t="str">
        <f>IF('Component Unit Template'!$G$2="","",'Component Unit Template'!$G$2)</f>
        <v/>
      </c>
    </row>
    <row r="140" spans="1:35">
      <c r="A140" s="636" t="s">
        <v>180</v>
      </c>
      <c r="B140" s="637" t="s">
        <v>571</v>
      </c>
      <c r="C140" s="652"/>
      <c r="D140" s="652"/>
      <c r="E140" s="652"/>
      <c r="F140" s="659"/>
      <c r="G140" s="659"/>
      <c r="H140" s="659"/>
      <c r="I140" s="660"/>
      <c r="J140" s="660"/>
      <c r="K140" s="660"/>
      <c r="L140" s="660"/>
      <c r="M140" s="660"/>
      <c r="N140" s="660"/>
      <c r="O140" s="660"/>
      <c r="P140" s="661"/>
      <c r="Q140" s="661"/>
      <c r="R140" s="637"/>
      <c r="S140" s="637"/>
      <c r="T140" s="637"/>
      <c r="U140" s="637"/>
      <c r="V140" s="653"/>
      <c r="W140" s="653"/>
      <c r="X140" s="653"/>
      <c r="Y140" s="654">
        <f t="shared" si="54"/>
        <v>0</v>
      </c>
      <c r="Z140" s="663"/>
      <c r="AA140" s="640"/>
      <c r="AB140" s="640"/>
      <c r="AC140" s="640"/>
      <c r="AD140" s="640"/>
      <c r="AE140" s="643"/>
      <c r="AF140" s="644">
        <f t="shared" si="59"/>
        <v>0</v>
      </c>
      <c r="AG140" s="642">
        <f t="shared" si="3"/>
        <v>0</v>
      </c>
      <c r="AH140" s="645"/>
      <c r="AI140" s="608" t="str">
        <f>IF('Component Unit Template'!$G$2="","",'Component Unit Template'!$G$2)</f>
        <v/>
      </c>
    </row>
    <row r="141" spans="1:35">
      <c r="A141" s="636"/>
      <c r="B141" s="608"/>
      <c r="C141" s="646"/>
      <c r="D141" s="608"/>
      <c r="E141" s="608"/>
      <c r="F141" s="608"/>
      <c r="G141" s="608"/>
      <c r="H141" s="608"/>
      <c r="I141" s="608"/>
      <c r="J141" s="608"/>
      <c r="K141" s="608"/>
      <c r="L141" s="608"/>
      <c r="M141" s="608"/>
      <c r="N141" s="608"/>
      <c r="O141" s="658"/>
      <c r="P141" s="608"/>
      <c r="Q141" s="608"/>
      <c r="R141" s="608"/>
      <c r="S141" s="608"/>
      <c r="T141" s="608"/>
      <c r="U141" s="608"/>
      <c r="V141" s="648"/>
      <c r="W141" s="648"/>
      <c r="X141" s="648"/>
      <c r="Y141" s="649"/>
      <c r="Z141" s="650"/>
      <c r="AA141" s="648"/>
      <c r="AB141" s="648"/>
      <c r="AC141" s="648"/>
      <c r="AD141" s="648"/>
      <c r="AE141" s="651"/>
      <c r="AF141" s="608"/>
      <c r="AG141" s="650"/>
      <c r="AH141" s="645"/>
      <c r="AI141" s="608"/>
    </row>
    <row r="142" spans="1:35">
      <c r="A142" s="636" t="s">
        <v>180</v>
      </c>
      <c r="B142" s="637" t="s">
        <v>178</v>
      </c>
      <c r="C142" s="652"/>
      <c r="D142" s="652"/>
      <c r="E142" s="652"/>
      <c r="F142" s="659"/>
      <c r="G142" s="659"/>
      <c r="H142" s="659"/>
      <c r="I142" s="660"/>
      <c r="J142" s="660"/>
      <c r="K142" s="660"/>
      <c r="L142" s="660"/>
      <c r="M142" s="660"/>
      <c r="N142" s="660"/>
      <c r="O142" s="660"/>
      <c r="P142" s="661"/>
      <c r="Q142" s="661"/>
      <c r="R142" s="637"/>
      <c r="S142" s="637"/>
      <c r="T142" s="637"/>
      <c r="U142" s="637"/>
      <c r="V142" s="653"/>
      <c r="W142" s="653"/>
      <c r="X142" s="653"/>
      <c r="Y142" s="654">
        <f t="shared" si="54"/>
        <v>0</v>
      </c>
      <c r="Z142" s="663"/>
      <c r="AA142" s="640"/>
      <c r="AB142" s="640"/>
      <c r="AC142" s="640"/>
      <c r="AD142" s="640"/>
      <c r="AE142" s="643"/>
      <c r="AF142" s="644">
        <f t="shared" si="2"/>
        <v>0</v>
      </c>
      <c r="AG142" s="642">
        <f t="shared" si="3"/>
        <v>0</v>
      </c>
      <c r="AH142" s="645"/>
      <c r="AI142" s="608" t="str">
        <f>IF('Component Unit Template'!$G$2="","",'Component Unit Template'!$G$2)</f>
        <v/>
      </c>
    </row>
    <row r="143" spans="1:35">
      <c r="A143" s="636" t="s">
        <v>180</v>
      </c>
      <c r="B143" s="637" t="s">
        <v>178</v>
      </c>
      <c r="C143" s="652"/>
      <c r="D143" s="652"/>
      <c r="E143" s="652"/>
      <c r="F143" s="659"/>
      <c r="G143" s="659"/>
      <c r="H143" s="659"/>
      <c r="I143" s="660"/>
      <c r="J143" s="660"/>
      <c r="K143" s="660"/>
      <c r="L143" s="660"/>
      <c r="M143" s="660"/>
      <c r="N143" s="660"/>
      <c r="O143" s="660"/>
      <c r="P143" s="661"/>
      <c r="Q143" s="661"/>
      <c r="R143" s="637"/>
      <c r="S143" s="637"/>
      <c r="T143" s="637"/>
      <c r="U143" s="637"/>
      <c r="V143" s="653"/>
      <c r="W143" s="653"/>
      <c r="X143" s="653"/>
      <c r="Y143" s="654">
        <f t="shared" si="54"/>
        <v>0</v>
      </c>
      <c r="Z143" s="663"/>
      <c r="AA143" s="640"/>
      <c r="AB143" s="640"/>
      <c r="AC143" s="640"/>
      <c r="AD143" s="640"/>
      <c r="AE143" s="643"/>
      <c r="AF143" s="644">
        <f t="shared" ref="AF143:AF146" si="60">IF(SUM(AA143:AE143)=Y143,SUM(AA143:AE143),"Error")</f>
        <v>0</v>
      </c>
      <c r="AG143" s="642">
        <f t="shared" ref="AG143:AG146" si="61">SUM(AA143:AE143)-Y143</f>
        <v>0</v>
      </c>
      <c r="AH143" s="645"/>
      <c r="AI143" s="608" t="str">
        <f>IF('Component Unit Template'!$G$2="","",'Component Unit Template'!$G$2)</f>
        <v/>
      </c>
    </row>
    <row r="144" spans="1:35">
      <c r="A144" s="636" t="s">
        <v>180</v>
      </c>
      <c r="B144" s="637" t="s">
        <v>178</v>
      </c>
      <c r="C144" s="652"/>
      <c r="D144" s="652"/>
      <c r="E144" s="652"/>
      <c r="F144" s="659"/>
      <c r="G144" s="659"/>
      <c r="H144" s="659"/>
      <c r="I144" s="660"/>
      <c r="J144" s="660"/>
      <c r="K144" s="660"/>
      <c r="L144" s="660"/>
      <c r="M144" s="660"/>
      <c r="N144" s="660"/>
      <c r="O144" s="660"/>
      <c r="P144" s="661"/>
      <c r="Q144" s="661"/>
      <c r="R144" s="637"/>
      <c r="S144" s="637"/>
      <c r="T144" s="637"/>
      <c r="U144" s="637"/>
      <c r="V144" s="653"/>
      <c r="W144" s="653"/>
      <c r="X144" s="653"/>
      <c r="Y144" s="654">
        <f t="shared" si="54"/>
        <v>0</v>
      </c>
      <c r="Z144" s="663"/>
      <c r="AA144" s="640"/>
      <c r="AB144" s="640"/>
      <c r="AC144" s="640"/>
      <c r="AD144" s="640"/>
      <c r="AE144" s="643"/>
      <c r="AF144" s="644">
        <f t="shared" si="60"/>
        <v>0</v>
      </c>
      <c r="AG144" s="642">
        <f t="shared" si="61"/>
        <v>0</v>
      </c>
      <c r="AH144" s="645"/>
      <c r="AI144" s="608" t="str">
        <f>IF('Component Unit Template'!$G$2="","",'Component Unit Template'!$G$2)</f>
        <v/>
      </c>
    </row>
    <row r="145" spans="1:35">
      <c r="A145" s="636" t="s">
        <v>180</v>
      </c>
      <c r="B145" s="637" t="s">
        <v>178</v>
      </c>
      <c r="C145" s="652"/>
      <c r="D145" s="652"/>
      <c r="E145" s="652"/>
      <c r="F145" s="659"/>
      <c r="G145" s="659"/>
      <c r="H145" s="659"/>
      <c r="I145" s="660"/>
      <c r="J145" s="660"/>
      <c r="K145" s="660"/>
      <c r="L145" s="660"/>
      <c r="M145" s="660"/>
      <c r="N145" s="660"/>
      <c r="O145" s="660"/>
      <c r="P145" s="661"/>
      <c r="Q145" s="661"/>
      <c r="R145" s="637"/>
      <c r="S145" s="637"/>
      <c r="T145" s="637"/>
      <c r="U145" s="637"/>
      <c r="V145" s="653"/>
      <c r="W145" s="653"/>
      <c r="X145" s="653"/>
      <c r="Y145" s="654">
        <f t="shared" si="54"/>
        <v>0</v>
      </c>
      <c r="Z145" s="663"/>
      <c r="AA145" s="640"/>
      <c r="AB145" s="640"/>
      <c r="AC145" s="640"/>
      <c r="AD145" s="640"/>
      <c r="AE145" s="643"/>
      <c r="AF145" s="644">
        <f t="shared" si="60"/>
        <v>0</v>
      </c>
      <c r="AG145" s="642">
        <f t="shared" si="61"/>
        <v>0</v>
      </c>
      <c r="AH145" s="645"/>
      <c r="AI145" s="608" t="str">
        <f>IF('Component Unit Template'!$G$2="","",'Component Unit Template'!$G$2)</f>
        <v/>
      </c>
    </row>
    <row r="146" spans="1:35">
      <c r="A146" s="636" t="s">
        <v>180</v>
      </c>
      <c r="B146" s="637" t="s">
        <v>178</v>
      </c>
      <c r="C146" s="652"/>
      <c r="D146" s="652"/>
      <c r="E146" s="652"/>
      <c r="F146" s="659"/>
      <c r="G146" s="659"/>
      <c r="H146" s="659"/>
      <c r="I146" s="660"/>
      <c r="J146" s="660"/>
      <c r="K146" s="660"/>
      <c r="L146" s="660"/>
      <c r="M146" s="660"/>
      <c r="N146" s="660"/>
      <c r="O146" s="660"/>
      <c r="P146" s="661"/>
      <c r="Q146" s="661"/>
      <c r="R146" s="637"/>
      <c r="S146" s="637"/>
      <c r="T146" s="637"/>
      <c r="U146" s="637"/>
      <c r="V146" s="653"/>
      <c r="W146" s="653"/>
      <c r="X146" s="653"/>
      <c r="Y146" s="654">
        <f t="shared" si="54"/>
        <v>0</v>
      </c>
      <c r="Z146" s="663"/>
      <c r="AA146" s="640"/>
      <c r="AB146" s="640"/>
      <c r="AC146" s="640"/>
      <c r="AD146" s="640"/>
      <c r="AE146" s="643"/>
      <c r="AF146" s="644">
        <f t="shared" si="60"/>
        <v>0</v>
      </c>
      <c r="AG146" s="642">
        <f t="shared" si="61"/>
        <v>0</v>
      </c>
      <c r="AH146" s="645"/>
      <c r="AI146" s="608" t="str">
        <f>IF('Component Unit Template'!$G$2="","",'Component Unit Template'!$G$2)</f>
        <v/>
      </c>
    </row>
    <row r="147" spans="1:35">
      <c r="B147" s="664"/>
      <c r="C147" s="664"/>
      <c r="D147" s="664"/>
      <c r="E147" s="664"/>
      <c r="F147" s="608"/>
      <c r="G147" s="608"/>
      <c r="H147" s="608"/>
      <c r="I147" s="608"/>
      <c r="J147" s="608"/>
      <c r="K147" s="608"/>
      <c r="L147" s="608"/>
      <c r="M147" s="608"/>
      <c r="N147" s="608"/>
      <c r="O147" s="608"/>
      <c r="P147" s="608"/>
      <c r="Q147" s="608"/>
      <c r="R147" s="608"/>
      <c r="S147" s="608"/>
      <c r="T147" s="608"/>
      <c r="U147" s="608"/>
      <c r="V147" s="608"/>
      <c r="W147" s="608"/>
      <c r="X147" s="608"/>
      <c r="Y147" s="608"/>
      <c r="Z147" s="663"/>
      <c r="AA147" s="608"/>
      <c r="AB147" s="608"/>
      <c r="AC147" s="608"/>
      <c r="AD147" s="608"/>
      <c r="AE147" s="608"/>
    </row>
    <row r="148" spans="1:35" s="665" customFormat="1" ht="14.25">
      <c r="B148" s="664"/>
      <c r="G148" s="666"/>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6"/>
      <c r="AE148" s="666"/>
    </row>
    <row r="149" spans="1:35" s="665" customFormat="1" ht="14.25">
      <c r="B149" s="664"/>
      <c r="C149" s="664"/>
      <c r="D149" s="664"/>
      <c r="E149" s="664"/>
      <c r="F149" s="666"/>
      <c r="G149" s="666"/>
      <c r="H149" s="666"/>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row>
    <row r="150" spans="1:35" s="665" customFormat="1" ht="14.25">
      <c r="B150" s="664"/>
      <c r="C150" s="664"/>
      <c r="D150" s="664"/>
      <c r="E150" s="664"/>
      <c r="F150" s="666"/>
      <c r="G150" s="666"/>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row>
    <row r="151" spans="1:35" s="665" customFormat="1" ht="14.25">
      <c r="B151" s="664"/>
      <c r="G151" s="666"/>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row>
    <row r="152" spans="1:35" s="665" customFormat="1" ht="14.25">
      <c r="B152" s="664"/>
      <c r="C152" s="664"/>
      <c r="D152" s="664"/>
      <c r="E152" s="664"/>
      <c r="F152" s="666"/>
      <c r="G152" s="666"/>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row>
    <row r="153" spans="1:35">
      <c r="B153" s="637"/>
      <c r="C153" s="637"/>
      <c r="D153" s="637"/>
      <c r="E153" s="637"/>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row>
    <row r="154" spans="1:35">
      <c r="B154" s="637"/>
      <c r="C154" s="637"/>
      <c r="D154" s="637"/>
      <c r="E154" s="637"/>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row>
    <row r="155" spans="1:35" s="665" customFormat="1" ht="14.25"/>
    <row r="156" spans="1:35" s="665" customFormat="1" ht="14.25"/>
    <row r="157" spans="1:35" s="665" customFormat="1" ht="14.25"/>
    <row r="158" spans="1:35" s="665" customFormat="1" ht="14.25"/>
    <row r="159" spans="1:35" s="665" customFormat="1" ht="14.25"/>
    <row r="160" spans="1:35" s="665" customFormat="1" ht="14.25"/>
    <row r="162" spans="2:25" s="498" customFormat="1" ht="12.75">
      <c r="B162" s="667"/>
      <c r="F162" s="668"/>
      <c r="G162" s="668"/>
      <c r="H162" s="668"/>
      <c r="Y162" s="669"/>
    </row>
    <row r="163" spans="2:25" s="498" customFormat="1" ht="12.75">
      <c r="F163" s="668"/>
      <c r="G163" s="668"/>
      <c r="H163" s="668"/>
      <c r="Y163" s="669"/>
    </row>
  </sheetData>
  <sheetProtection algorithmName="SHA-512" hashValue="fDDzeIvh4YyaXs87SVAIzgLOTBPx2/Sps9DCEsGddTp3G+I6FBmQGHnMuf9F40OBMJfnTDn8qFLvmFUeoN7tSg==" saltValue="ydwwfMo2LaGqMC9n2GKU1g==" spinCount="100000" sheet="1" objects="1" scenarios="1"/>
  <customSheetViews>
    <customSheetView guid="{10B70302-090E-4CFD-BAE6-CC560B897D26}" scale="85" showGridLines="0" zeroValues="0">
      <pane xSplit="5" ySplit="5" topLeftCell="F6" activePane="bottomRight" state="frozen"/>
      <selection pane="bottomRight" activeCell="C6" sqref="C6"/>
      <rowBreaks count="1" manualBreakCount="1">
        <brk id="66" max="33" man="1"/>
      </rowBreaks>
      <colBreaks count="1" manualBreakCount="1">
        <brk id="16" max="145" man="1"/>
      </colBreaks>
      <pageMargins left="0.25" right="0.25" top="1" bottom="1" header="0.44" footer="0.44"/>
      <pageSetup paperSize="5" scale="36" fitToWidth="0" fitToHeight="0" pageOrder="overThenDown" orientation="landscape" cellComments="asDisplayed" r:id="rId1"/>
      <headerFooter>
        <oddHeader>&amp;C&amp;"Times New Roman,Bold"Attachment CU4
Financial Statement Template (FST)
&amp;A</oddHeader>
        <oddFooter>&amp;L&amp;"Times New Roman,Regular"&amp;F\ &amp;A&amp;R&amp;"Times New Roman,Regular"Page &amp;P</oddFooter>
      </headerFooter>
    </customSheetView>
  </customSheetViews>
  <mergeCells count="11">
    <mergeCell ref="C7:I7"/>
    <mergeCell ref="C2:I2"/>
    <mergeCell ref="C4:I4"/>
    <mergeCell ref="C5:I5"/>
    <mergeCell ref="C6:I6"/>
    <mergeCell ref="C3:I3"/>
    <mergeCell ref="F9:O9"/>
    <mergeCell ref="R9:U9"/>
    <mergeCell ref="V9:X9"/>
    <mergeCell ref="V10:W10"/>
    <mergeCell ref="AB10:AE10"/>
  </mergeCells>
  <conditionalFormatting sqref="Y12:Y146">
    <cfRule type="cellIs" dxfId="229" priority="2" operator="equal">
      <formula>"Error"</formula>
    </cfRule>
  </conditionalFormatting>
  <conditionalFormatting sqref="AF1:AF1048576">
    <cfRule type="cellIs" dxfId="228" priority="1" operator="equal">
      <formula>"Error"</formula>
    </cfRule>
  </conditionalFormatting>
  <dataValidations count="1">
    <dataValidation type="whole" allowBlank="1" showErrorMessage="1" errorTitle="Enter Whole Number" error="Please enter a whole number." sqref="F93:O97 R74:X79 F44:O48 F50:O54 F56:O60 F62:O66 F68:O72 F74:O79 F81:O85 F87:O91 O12 V142:X146 F14:O18 AA93:AE97 F38:O42 F99:O103 R12:X12 F105:O109 R99:X103 R14:X18 R20:X24 R26:X30 AA38:AE42 R38:U42 R32:X36 R44:X48 R50:X54 R56:X60 AA12:AE12 F32:O36 R87:X91 R93:X97 R105:X109 V111:X115 V117:X121 V129:X133 V135:X140 AA142:AE146 AA135:AE140 AA129:AE133 AA117:AE121 AA111:AE115 AA105:AE109 AA99:AE103 R68:X72 AA74:AE79 AA68:AE72 AA62:AE66 AA56:AE60 AA50:AE54 AA44:AE48 X38:X42 AA32:AE36 AA26:AE30 AA20:AE24 AA14:AE18 X81:X85 R62:X66 AA81:AE85 V123:X127 F20:O24 F26:O30 AA87:AE91 R81:U85 AA123:AE127" xr:uid="{00000000-0002-0000-0400-000000000000}">
      <formula1>-9999999999999</formula1>
      <formula2>9999999999999</formula2>
    </dataValidation>
  </dataValidations>
  <pageMargins left="0.75" right="0.25" top="1" bottom="1" header="0.44" footer="0.44"/>
  <pageSetup paperSize="5" scale="33" fitToWidth="0" fitToHeight="0" pageOrder="overThenDown" orientation="landscape" cellComments="asDisplayed" r:id="rId2"/>
  <headerFooter>
    <oddHeader>&amp;C&amp;"Times New Roman,Bold"Attachment CU4
Financial Statement Template (FST)
&amp;A</oddHeader>
    <oddFooter>&amp;L&amp;"Times New Roman,Regular"&amp;F\ &amp;A&amp;R&amp;"Times New Roman,Regular"Page &amp;P</oddFooter>
  </headerFooter>
  <rowBreaks count="1" manualBreakCount="1">
    <brk id="72" max="33" man="1"/>
  </rowBreaks>
  <colBreaks count="1" manualBreakCount="1">
    <brk id="17" max="14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S69"/>
  <sheetViews>
    <sheetView showGridLines="0" zoomScale="78" zoomScaleNormal="78" zoomScaleSheetLayoutView="90" workbookViewId="0">
      <selection activeCell="E3" sqref="E3:K3"/>
    </sheetView>
  </sheetViews>
  <sheetFormatPr defaultColWidth="9.140625" defaultRowHeight="12.75"/>
  <cols>
    <col min="1" max="1" width="4.28515625" style="19" customWidth="1"/>
    <col min="2" max="2" width="33" style="19" customWidth="1"/>
    <col min="3" max="4" width="3.85546875" style="19" customWidth="1"/>
    <col min="5" max="5" width="21.42578125" style="19" customWidth="1"/>
    <col min="6" max="6" width="3.140625" style="19" customWidth="1"/>
    <col min="7" max="7" width="2.85546875" style="19" customWidth="1"/>
    <col min="8" max="8" width="20.5703125" style="19" customWidth="1"/>
    <col min="9" max="9" width="2.42578125" style="19" customWidth="1"/>
    <col min="10" max="10" width="2.85546875" style="19" customWidth="1"/>
    <col min="11" max="11" width="20.7109375" style="19" customWidth="1"/>
    <col min="12" max="12" width="2.85546875" style="19" customWidth="1"/>
    <col min="13" max="13" width="3.7109375" style="19" customWidth="1"/>
    <col min="14" max="14" width="20.28515625" style="19" customWidth="1"/>
    <col min="15" max="15" width="2.42578125" style="19" customWidth="1"/>
    <col min="16" max="16" width="2" style="19" customWidth="1"/>
    <col min="17" max="17" width="20.140625" style="19" customWidth="1"/>
    <col min="18" max="18" width="2.7109375" style="19" customWidth="1"/>
    <col min="19" max="19" width="4" style="19" customWidth="1"/>
    <col min="20" max="20" width="20.42578125" style="19" customWidth="1"/>
    <col min="21" max="22" width="3.42578125" style="19" customWidth="1"/>
    <col min="23" max="23" width="20.42578125" style="19" customWidth="1"/>
    <col min="24" max="24" width="3.5703125" style="19" customWidth="1"/>
    <col min="25" max="25" width="3.140625" style="19" customWidth="1"/>
    <col min="26" max="26" width="20.140625" style="19" customWidth="1"/>
    <col min="27" max="27" width="3.42578125" style="19" customWidth="1"/>
    <col min="28" max="28" width="3.7109375" style="19" customWidth="1"/>
    <col min="29" max="29" width="21" style="19" customWidth="1"/>
    <col min="30" max="30" width="2.85546875" style="19" hidden="1" customWidth="1"/>
    <col min="31" max="31" width="3.42578125" style="19" hidden="1" customWidth="1"/>
    <col min="32" max="32" width="19.5703125" style="19" hidden="1" customWidth="1"/>
    <col min="33" max="33" width="2.5703125" style="19" customWidth="1"/>
    <col min="34" max="34" width="3.140625" style="19" customWidth="1"/>
    <col min="35" max="35" width="20.7109375" style="19" customWidth="1"/>
    <col min="36" max="36" width="2.85546875" style="19" customWidth="1"/>
    <col min="37" max="37" width="2.42578125" style="19" customWidth="1"/>
    <col min="38" max="38" width="22.28515625" style="19" customWidth="1"/>
    <col min="39" max="39" width="5.140625" style="19" customWidth="1"/>
    <col min="40" max="40" width="8" style="19" customWidth="1"/>
    <col min="41" max="41" width="26.5703125" style="19" customWidth="1"/>
    <col min="42" max="42" width="2.42578125" style="19" customWidth="1"/>
    <col min="43" max="43" width="2.7109375" style="19" customWidth="1"/>
    <col min="44" max="44" width="21.85546875" style="19" customWidth="1"/>
    <col min="45" max="45" width="3.42578125" style="19" customWidth="1"/>
    <col min="46" max="46" width="3.5703125" style="19" customWidth="1"/>
    <col min="47" max="47" width="21.42578125" style="19" customWidth="1"/>
    <col min="48" max="48" width="2.5703125" style="19" customWidth="1"/>
    <col min="49" max="49" width="2.85546875" style="19" customWidth="1"/>
    <col min="50" max="50" width="21.28515625" style="19" customWidth="1"/>
    <col min="51" max="51" width="2.7109375" style="19" customWidth="1"/>
    <col min="52" max="52" width="3.28515625" style="19" customWidth="1"/>
    <col min="53" max="53" width="20.28515625" style="19" customWidth="1"/>
    <col min="54" max="54" width="2.7109375" style="19" customWidth="1"/>
    <col min="55" max="55" width="3.28515625" style="19" customWidth="1"/>
    <col min="56" max="56" width="20.28515625" style="19" customWidth="1"/>
    <col min="57" max="57" width="3.42578125" style="19" customWidth="1"/>
    <col min="58" max="58" width="3.140625" style="19" customWidth="1"/>
    <col min="59" max="59" width="22.28515625" style="19" customWidth="1"/>
    <col min="60" max="60" width="3.140625" style="19" customWidth="1"/>
    <col min="61" max="61" width="3.42578125" style="19" customWidth="1"/>
    <col min="62" max="62" width="20.85546875" style="19" customWidth="1"/>
    <col min="63" max="64" width="3.28515625" style="19" customWidth="1"/>
    <col min="65" max="65" width="20.5703125" style="19" customWidth="1"/>
    <col min="66" max="67" width="4.140625" style="19" customWidth="1"/>
    <col min="68" max="68" width="20.42578125" style="19" customWidth="1"/>
    <col min="69" max="69" width="4" style="19" customWidth="1"/>
    <col min="70" max="70" width="3.5703125" style="19" customWidth="1"/>
    <col min="71" max="71" width="26.28515625" style="19" customWidth="1"/>
    <col min="72" max="16384" width="9.140625" style="19"/>
  </cols>
  <sheetData>
    <row r="1" spans="1:71" ht="14.25">
      <c r="A1" s="18" t="s">
        <v>507</v>
      </c>
      <c r="E1" s="1271" t="str">
        <f>'Component Unit Template'!G1</f>
        <v/>
      </c>
      <c r="F1" s="1272"/>
      <c r="G1" s="1272"/>
      <c r="H1" s="1272"/>
      <c r="I1" s="1272"/>
      <c r="J1" s="1272"/>
      <c r="K1" s="1273"/>
    </row>
    <row r="2" spans="1:71" ht="42.75" customHeight="1">
      <c r="A2" s="18" t="s">
        <v>528</v>
      </c>
      <c r="E2" s="1271" t="str">
        <f>IF('Component Unit Template'!G2="","",'Component Unit Template'!G2)</f>
        <v/>
      </c>
      <c r="F2" s="1272"/>
      <c r="G2" s="1272"/>
      <c r="H2" s="1272"/>
      <c r="I2" s="1272"/>
      <c r="J2" s="1272"/>
      <c r="K2" s="1273"/>
    </row>
    <row r="3" spans="1:71" ht="14.25">
      <c r="A3" s="18" t="s">
        <v>586</v>
      </c>
      <c r="E3" s="1274" t="str">
        <f>IF('Component Unit Template'!G3="","",'Component Unit Template'!G3)</f>
        <v/>
      </c>
      <c r="F3" s="1275"/>
      <c r="G3" s="1275"/>
      <c r="H3" s="1275"/>
      <c r="I3" s="1275"/>
      <c r="J3" s="1275"/>
      <c r="K3" s="1276"/>
    </row>
    <row r="4" spans="1:71" ht="14.25">
      <c r="A4" s="18" t="s">
        <v>315</v>
      </c>
      <c r="E4" s="1277" t="str">
        <f>IF('Component Unit Template'!G4="","",'Component Unit Template'!G4)</f>
        <v/>
      </c>
      <c r="F4" s="1278"/>
      <c r="G4" s="1278"/>
      <c r="H4" s="1278"/>
      <c r="I4" s="1278"/>
      <c r="J4" s="1278"/>
      <c r="K4" s="1279"/>
    </row>
    <row r="5" spans="1:71" ht="14.25">
      <c r="A5" s="18" t="s">
        <v>677</v>
      </c>
      <c r="E5" s="1280" t="str">
        <f>IF('Component Unit Template'!G5="","",'Component Unit Template'!G5)</f>
        <v/>
      </c>
      <c r="F5" s="1281"/>
      <c r="G5" s="1281"/>
      <c r="H5" s="1281"/>
      <c r="I5" s="1281"/>
      <c r="J5" s="1281"/>
      <c r="K5" s="1282"/>
    </row>
    <row r="6" spans="1:71" ht="14.25">
      <c r="A6" s="18" t="s">
        <v>36</v>
      </c>
      <c r="E6" s="1283" t="str">
        <f>IF('Component Unit Template'!G6="","",'Component Unit Template'!G6)</f>
        <v/>
      </c>
      <c r="F6" s="1284"/>
      <c r="G6" s="1284"/>
      <c r="H6" s="1284"/>
      <c r="I6" s="1284"/>
      <c r="J6" s="1284"/>
      <c r="K6" s="1285"/>
    </row>
    <row r="7" spans="1:71">
      <c r="A7" s="259"/>
      <c r="B7" s="2"/>
      <c r="C7" s="2"/>
    </row>
    <row r="8" spans="1:71">
      <c r="A8" s="259"/>
    </row>
    <row r="9" spans="1:71" ht="48" customHeight="1">
      <c r="A9" s="1212" t="s">
        <v>1039</v>
      </c>
      <c r="B9" s="1212"/>
      <c r="C9" s="1212"/>
      <c r="D9" s="1212"/>
      <c r="E9" s="1212"/>
      <c r="F9" s="1212"/>
      <c r="G9" s="1212"/>
      <c r="H9" s="1212"/>
      <c r="I9" s="1212"/>
      <c r="J9" s="1212"/>
      <c r="K9" s="1212"/>
    </row>
    <row r="10" spans="1:71" ht="80.099999999999994" customHeight="1">
      <c r="A10" s="1266" t="str">
        <f>IF(AND(BS61=0,'Tab 1A - Detail'!G318=0),"N/A","Answer Required")</f>
        <v>N/A</v>
      </c>
      <c r="B10" s="1267"/>
      <c r="C10" s="1267"/>
      <c r="D10" s="1267"/>
      <c r="E10" s="1267"/>
      <c r="F10" s="1267"/>
      <c r="G10" s="1267"/>
      <c r="H10" s="1267"/>
      <c r="I10" s="1267"/>
      <c r="J10" s="1267"/>
      <c r="K10" s="1268"/>
    </row>
    <row r="11" spans="1:71" s="260" customFormat="1" ht="62.25" customHeight="1">
      <c r="E11" s="39"/>
      <c r="H11" s="39" t="s">
        <v>1338</v>
      </c>
      <c r="K11" s="39" t="s">
        <v>1339</v>
      </c>
      <c r="N11" s="39" t="s">
        <v>559</v>
      </c>
      <c r="Q11" s="39" t="s">
        <v>560</v>
      </c>
      <c r="T11" s="39" t="s">
        <v>561</v>
      </c>
      <c r="W11" s="39" t="s">
        <v>806</v>
      </c>
      <c r="Z11" s="39" t="s">
        <v>562</v>
      </c>
      <c r="AC11" s="39" t="s">
        <v>563</v>
      </c>
      <c r="AF11" s="39" t="s">
        <v>564</v>
      </c>
      <c r="AI11" s="39" t="s">
        <v>121</v>
      </c>
      <c r="AL11" s="39" t="s">
        <v>805</v>
      </c>
      <c r="AM11" s="39"/>
      <c r="AN11" s="39"/>
      <c r="AO11" s="39"/>
      <c r="AR11" s="39" t="s">
        <v>807</v>
      </c>
      <c r="AU11" s="39" t="s">
        <v>566</v>
      </c>
      <c r="AX11" s="39" t="s">
        <v>567</v>
      </c>
      <c r="BA11" s="238" t="s">
        <v>658</v>
      </c>
      <c r="BD11" s="238" t="s">
        <v>1334</v>
      </c>
      <c r="BG11" s="39" t="s">
        <v>568</v>
      </c>
      <c r="BJ11" s="39" t="s">
        <v>570</v>
      </c>
      <c r="BM11" s="39" t="s">
        <v>571</v>
      </c>
      <c r="BN11" s="39"/>
      <c r="BO11" s="39"/>
      <c r="BP11" s="39" t="s">
        <v>572</v>
      </c>
      <c r="BS11" s="263" t="s">
        <v>698</v>
      </c>
    </row>
    <row r="12" spans="1:71">
      <c r="A12" s="261" t="s">
        <v>1093</v>
      </c>
      <c r="D12" s="23"/>
      <c r="E12" s="239"/>
      <c r="G12" s="23" t="s">
        <v>668</v>
      </c>
      <c r="H12" s="40"/>
      <c r="J12" s="23" t="s">
        <v>668</v>
      </c>
      <c r="K12" s="40"/>
      <c r="M12" s="23" t="s">
        <v>668</v>
      </c>
      <c r="N12" s="40"/>
      <c r="P12" s="23" t="s">
        <v>668</v>
      </c>
      <c r="Q12" s="40"/>
      <c r="S12" s="23" t="s">
        <v>668</v>
      </c>
      <c r="T12" s="40"/>
      <c r="V12" s="23" t="s">
        <v>668</v>
      </c>
      <c r="W12" s="40"/>
      <c r="Y12" s="23" t="s">
        <v>668</v>
      </c>
      <c r="Z12" s="40"/>
      <c r="AB12" s="23" t="s">
        <v>668</v>
      </c>
      <c r="AC12" s="40"/>
      <c r="AE12" s="23" t="s">
        <v>668</v>
      </c>
      <c r="AF12" s="409"/>
      <c r="AH12" s="23" t="s">
        <v>668</v>
      </c>
      <c r="AI12" s="40"/>
      <c r="AK12" s="23" t="s">
        <v>668</v>
      </c>
      <c r="AL12" s="40"/>
      <c r="AN12" s="261" t="str">
        <f>A12</f>
        <v xml:space="preserve">Argentine Peso </v>
      </c>
      <c r="AQ12" s="23" t="s">
        <v>668</v>
      </c>
      <c r="AR12" s="40"/>
      <c r="AT12" s="23" t="s">
        <v>668</v>
      </c>
      <c r="AU12" s="40"/>
      <c r="AW12" s="23" t="s">
        <v>668</v>
      </c>
      <c r="AX12" s="40"/>
      <c r="AZ12" s="23" t="s">
        <v>668</v>
      </c>
      <c r="BA12" s="40"/>
      <c r="BC12" s="23" t="s">
        <v>668</v>
      </c>
      <c r="BD12" s="40"/>
      <c r="BF12" s="23" t="s">
        <v>668</v>
      </c>
      <c r="BG12" s="40"/>
      <c r="BI12" s="23" t="s">
        <v>668</v>
      </c>
      <c r="BJ12" s="40"/>
      <c r="BL12" s="23" t="s">
        <v>668</v>
      </c>
      <c r="BM12" s="40"/>
      <c r="BN12" s="239"/>
      <c r="BO12" s="23" t="s">
        <v>668</v>
      </c>
      <c r="BP12" s="40"/>
      <c r="BR12" s="23" t="s">
        <v>668</v>
      </c>
      <c r="BS12" s="351">
        <f t="shared" ref="BS12:BS53" si="0">SUM(H12:BP12)</f>
        <v>0</v>
      </c>
    </row>
    <row r="13" spans="1:71">
      <c r="A13" s="262" t="s">
        <v>610</v>
      </c>
      <c r="E13" s="239"/>
      <c r="H13" s="40"/>
      <c r="K13" s="40"/>
      <c r="N13" s="40"/>
      <c r="Q13" s="40"/>
      <c r="T13" s="40"/>
      <c r="W13" s="40"/>
      <c r="Z13" s="40"/>
      <c r="AC13" s="40"/>
      <c r="AF13" s="409"/>
      <c r="AI13" s="40"/>
      <c r="AL13" s="40"/>
      <c r="AN13" s="261" t="str">
        <f t="shared" ref="AN13:AN54" si="1">A13</f>
        <v xml:space="preserve">Australian Dollar </v>
      </c>
      <c r="AR13" s="40"/>
      <c r="AU13" s="40"/>
      <c r="AX13" s="40"/>
      <c r="BA13" s="40"/>
      <c r="BD13" s="40"/>
      <c r="BG13" s="40"/>
      <c r="BJ13" s="40"/>
      <c r="BM13" s="40"/>
      <c r="BN13" s="239"/>
      <c r="BO13" s="239"/>
      <c r="BP13" s="40"/>
      <c r="BS13" s="351">
        <f t="shared" si="0"/>
        <v>0</v>
      </c>
    </row>
    <row r="14" spans="1:71">
      <c r="A14" s="262" t="s">
        <v>1689</v>
      </c>
      <c r="E14" s="239"/>
      <c r="H14" s="40"/>
      <c r="K14" s="40"/>
      <c r="N14" s="40"/>
      <c r="Q14" s="40"/>
      <c r="T14" s="40"/>
      <c r="W14" s="40"/>
      <c r="Z14" s="40"/>
      <c r="AC14" s="40"/>
      <c r="AF14" s="409"/>
      <c r="AI14" s="40"/>
      <c r="AL14" s="40"/>
      <c r="AN14" s="261" t="str">
        <f t="shared" si="1"/>
        <v xml:space="preserve">Brazilian Real </v>
      </c>
      <c r="AR14" s="40"/>
      <c r="AU14" s="40"/>
      <c r="AX14" s="40"/>
      <c r="BA14" s="40"/>
      <c r="BD14" s="40"/>
      <c r="BG14" s="40"/>
      <c r="BJ14" s="40"/>
      <c r="BM14" s="40"/>
      <c r="BN14" s="239"/>
      <c r="BO14" s="239"/>
      <c r="BP14" s="40"/>
      <c r="BS14" s="351">
        <f t="shared" si="0"/>
        <v>0</v>
      </c>
    </row>
    <row r="15" spans="1:71">
      <c r="A15" s="262" t="s">
        <v>477</v>
      </c>
      <c r="E15" s="239"/>
      <c r="H15" s="40"/>
      <c r="K15" s="40"/>
      <c r="N15" s="40"/>
      <c r="Q15" s="40"/>
      <c r="T15" s="40"/>
      <c r="W15" s="40"/>
      <c r="Z15" s="40"/>
      <c r="AC15" s="40"/>
      <c r="AF15" s="409"/>
      <c r="AI15" s="40"/>
      <c r="AL15" s="40"/>
      <c r="AN15" s="261" t="str">
        <f t="shared" si="1"/>
        <v xml:space="preserve">British Pound Sterling </v>
      </c>
      <c r="AR15" s="40"/>
      <c r="AU15" s="40"/>
      <c r="AX15" s="40"/>
      <c r="BA15" s="40"/>
      <c r="BD15" s="40"/>
      <c r="BG15" s="40"/>
      <c r="BJ15" s="40"/>
      <c r="BM15" s="40"/>
      <c r="BN15" s="239"/>
      <c r="BO15" s="239"/>
      <c r="BP15" s="40"/>
      <c r="BS15" s="351">
        <f t="shared" si="0"/>
        <v>0</v>
      </c>
    </row>
    <row r="16" spans="1:71">
      <c r="A16" s="262" t="s">
        <v>478</v>
      </c>
      <c r="E16" s="239"/>
      <c r="H16" s="40"/>
      <c r="K16" s="40"/>
      <c r="N16" s="40"/>
      <c r="Q16" s="40"/>
      <c r="T16" s="40"/>
      <c r="W16" s="40"/>
      <c r="Z16" s="40"/>
      <c r="AC16" s="40"/>
      <c r="AF16" s="409"/>
      <c r="AI16" s="40"/>
      <c r="AL16" s="40"/>
      <c r="AN16" s="261" t="str">
        <f t="shared" si="1"/>
        <v xml:space="preserve">Canadian Dollar </v>
      </c>
      <c r="AR16" s="40"/>
      <c r="AU16" s="40"/>
      <c r="AX16" s="40"/>
      <c r="BA16" s="40"/>
      <c r="BD16" s="40"/>
      <c r="BG16" s="40"/>
      <c r="BJ16" s="40"/>
      <c r="BM16" s="40"/>
      <c r="BN16" s="239"/>
      <c r="BO16" s="239"/>
      <c r="BP16" s="40"/>
      <c r="BS16" s="351">
        <f t="shared" si="0"/>
        <v>0</v>
      </c>
    </row>
    <row r="17" spans="1:71">
      <c r="A17" s="262" t="s">
        <v>1682</v>
      </c>
      <c r="E17" s="239"/>
      <c r="H17" s="40"/>
      <c r="K17" s="40"/>
      <c r="N17" s="40"/>
      <c r="Q17" s="40"/>
      <c r="T17" s="40"/>
      <c r="W17" s="40"/>
      <c r="Z17" s="40"/>
      <c r="AC17" s="40"/>
      <c r="AF17" s="409"/>
      <c r="AI17" s="40"/>
      <c r="AL17" s="40"/>
      <c r="AN17" s="261" t="str">
        <f t="shared" ref="AN17" si="2">A17</f>
        <v>Cayman Islands</v>
      </c>
      <c r="AR17" s="40"/>
      <c r="AU17" s="40"/>
      <c r="AX17" s="40"/>
      <c r="BA17" s="40"/>
      <c r="BD17" s="40"/>
      <c r="BG17" s="40"/>
      <c r="BJ17" s="40"/>
      <c r="BM17" s="40"/>
      <c r="BN17" s="239"/>
      <c r="BO17" s="239"/>
      <c r="BP17" s="40"/>
      <c r="BS17" s="351">
        <f t="shared" ref="BS17" si="3">SUM(H17:BP17)</f>
        <v>0</v>
      </c>
    </row>
    <row r="18" spans="1:71">
      <c r="A18" s="262" t="s">
        <v>1414</v>
      </c>
      <c r="E18" s="239"/>
      <c r="H18" s="40"/>
      <c r="K18" s="40"/>
      <c r="N18" s="40"/>
      <c r="Q18" s="40"/>
      <c r="T18" s="40"/>
      <c r="W18" s="40"/>
      <c r="Z18" s="40"/>
      <c r="AC18" s="40"/>
      <c r="AF18" s="409"/>
      <c r="AI18" s="40"/>
      <c r="AL18" s="40"/>
      <c r="AN18" s="261" t="str">
        <f t="shared" si="1"/>
        <v>Chilean Peso</v>
      </c>
      <c r="AR18" s="40"/>
      <c r="AU18" s="40"/>
      <c r="AX18" s="40"/>
      <c r="BA18" s="40"/>
      <c r="BD18" s="40"/>
      <c r="BG18" s="40"/>
      <c r="BJ18" s="40"/>
      <c r="BM18" s="40"/>
      <c r="BN18" s="239"/>
      <c r="BO18" s="239"/>
      <c r="BP18" s="40"/>
      <c r="BS18" s="351">
        <f t="shared" si="0"/>
        <v>0</v>
      </c>
    </row>
    <row r="19" spans="1:71">
      <c r="A19" s="262" t="s">
        <v>1419</v>
      </c>
      <c r="E19" s="239"/>
      <c r="H19" s="40"/>
      <c r="K19" s="40"/>
      <c r="N19" s="40"/>
      <c r="Q19" s="40"/>
      <c r="T19" s="40"/>
      <c r="W19" s="40"/>
      <c r="Z19" s="40"/>
      <c r="AC19" s="40"/>
      <c r="AF19" s="409"/>
      <c r="AI19" s="40"/>
      <c r="AL19" s="40"/>
      <c r="AN19" s="261" t="str">
        <f t="shared" si="1"/>
        <v>Chinese RMB</v>
      </c>
      <c r="AR19" s="40"/>
      <c r="AU19" s="40"/>
      <c r="AX19" s="40"/>
      <c r="BA19" s="40"/>
      <c r="BD19" s="40"/>
      <c r="BG19" s="40"/>
      <c r="BJ19" s="40"/>
      <c r="BM19" s="40"/>
      <c r="BN19" s="239"/>
      <c r="BO19" s="239"/>
      <c r="BP19" s="40"/>
      <c r="BS19" s="351">
        <f t="shared" si="0"/>
        <v>0</v>
      </c>
    </row>
    <row r="20" spans="1:71">
      <c r="A20" s="262" t="s">
        <v>479</v>
      </c>
      <c r="C20" s="38"/>
      <c r="D20" s="38"/>
      <c r="E20" s="239"/>
      <c r="H20" s="40"/>
      <c r="K20" s="40"/>
      <c r="N20" s="40"/>
      <c r="Q20" s="40"/>
      <c r="T20" s="40"/>
      <c r="W20" s="40"/>
      <c r="Z20" s="40"/>
      <c r="AC20" s="40"/>
      <c r="AF20" s="409"/>
      <c r="AI20" s="40"/>
      <c r="AL20" s="40"/>
      <c r="AN20" s="261" t="str">
        <f t="shared" si="1"/>
        <v xml:space="preserve">Colombian Peso </v>
      </c>
      <c r="AR20" s="40"/>
      <c r="AU20" s="40"/>
      <c r="AX20" s="40"/>
      <c r="BA20" s="40"/>
      <c r="BD20" s="40"/>
      <c r="BG20" s="40"/>
      <c r="BJ20" s="40"/>
      <c r="BM20" s="40"/>
      <c r="BN20" s="239"/>
      <c r="BO20" s="239"/>
      <c r="BP20" s="40"/>
      <c r="BS20" s="351">
        <f t="shared" si="0"/>
        <v>0</v>
      </c>
    </row>
    <row r="21" spans="1:71">
      <c r="A21" s="262" t="s">
        <v>480</v>
      </c>
      <c r="E21" s="239"/>
      <c r="H21" s="40"/>
      <c r="K21" s="40"/>
      <c r="N21" s="40"/>
      <c r="Q21" s="40"/>
      <c r="T21" s="40"/>
      <c r="W21" s="40"/>
      <c r="Z21" s="40"/>
      <c r="AC21" s="40"/>
      <c r="AF21" s="409"/>
      <c r="AI21" s="40"/>
      <c r="AL21" s="40"/>
      <c r="AN21" s="261" t="str">
        <f t="shared" si="1"/>
        <v xml:space="preserve">Czech Koruna </v>
      </c>
      <c r="AR21" s="40"/>
      <c r="AU21" s="40"/>
      <c r="AX21" s="40"/>
      <c r="BA21" s="40"/>
      <c r="BD21" s="40"/>
      <c r="BG21" s="40"/>
      <c r="BJ21" s="40"/>
      <c r="BM21" s="40"/>
      <c r="BN21" s="239"/>
      <c r="BO21" s="239"/>
      <c r="BP21" s="40"/>
      <c r="BS21" s="351">
        <f t="shared" si="0"/>
        <v>0</v>
      </c>
    </row>
    <row r="22" spans="1:71">
      <c r="A22" s="262" t="s">
        <v>481</v>
      </c>
      <c r="E22" s="239"/>
      <c r="H22" s="40"/>
      <c r="K22" s="40"/>
      <c r="N22" s="40"/>
      <c r="Q22" s="40"/>
      <c r="T22" s="40"/>
      <c r="W22" s="40"/>
      <c r="Z22" s="40"/>
      <c r="AC22" s="40"/>
      <c r="AF22" s="409"/>
      <c r="AI22" s="40"/>
      <c r="AL22" s="40"/>
      <c r="AN22" s="261" t="str">
        <f t="shared" si="1"/>
        <v xml:space="preserve">Danish Krone </v>
      </c>
      <c r="AR22" s="40"/>
      <c r="AU22" s="40"/>
      <c r="AX22" s="40"/>
      <c r="BA22" s="40"/>
      <c r="BD22" s="40"/>
      <c r="BG22" s="40"/>
      <c r="BJ22" s="40"/>
      <c r="BM22" s="40"/>
      <c r="BN22" s="239"/>
      <c r="BO22" s="239"/>
      <c r="BP22" s="40"/>
      <c r="BS22" s="351">
        <f t="shared" si="0"/>
        <v>0</v>
      </c>
    </row>
    <row r="23" spans="1:71">
      <c r="A23" s="262" t="s">
        <v>1683</v>
      </c>
      <c r="E23" s="239"/>
      <c r="H23" s="40"/>
      <c r="K23" s="40"/>
      <c r="N23" s="40"/>
      <c r="Q23" s="40"/>
      <c r="T23" s="40"/>
      <c r="W23" s="40"/>
      <c r="Z23" s="40"/>
      <c r="AC23" s="40"/>
      <c r="AF23" s="409"/>
      <c r="AI23" s="40"/>
      <c r="AL23" s="40"/>
      <c r="AN23" s="261" t="str">
        <f t="shared" ref="AN23" si="4">A23</f>
        <v>Dominican Republic Peso</v>
      </c>
      <c r="AR23" s="40"/>
      <c r="AU23" s="40"/>
      <c r="AX23" s="40"/>
      <c r="BA23" s="40"/>
      <c r="BD23" s="40"/>
      <c r="BG23" s="40"/>
      <c r="BJ23" s="40"/>
      <c r="BM23" s="40"/>
      <c r="BN23" s="239"/>
      <c r="BO23" s="239"/>
      <c r="BP23" s="40"/>
      <c r="BS23" s="351">
        <f t="shared" ref="BS23" si="5">SUM(H23:BP23)</f>
        <v>0</v>
      </c>
    </row>
    <row r="24" spans="1:71">
      <c r="A24" s="262" t="s">
        <v>482</v>
      </c>
      <c r="E24" s="239"/>
      <c r="H24" s="40"/>
      <c r="K24" s="40"/>
      <c r="N24" s="40"/>
      <c r="Q24" s="40"/>
      <c r="T24" s="40"/>
      <c r="W24" s="40"/>
      <c r="Z24" s="40"/>
      <c r="AC24" s="40"/>
      <c r="AF24" s="409"/>
      <c r="AI24" s="40"/>
      <c r="AL24" s="40"/>
      <c r="AN24" s="261" t="str">
        <f t="shared" si="1"/>
        <v xml:space="preserve">Egyptian Pound </v>
      </c>
      <c r="AR24" s="40"/>
      <c r="AU24" s="40"/>
      <c r="AX24" s="40"/>
      <c r="BA24" s="40"/>
      <c r="BD24" s="40"/>
      <c r="BG24" s="40"/>
      <c r="BJ24" s="40"/>
      <c r="BM24" s="40"/>
      <c r="BN24" s="239"/>
      <c r="BO24" s="239"/>
      <c r="BP24" s="40"/>
      <c r="BS24" s="351">
        <f t="shared" si="0"/>
        <v>0</v>
      </c>
    </row>
    <row r="25" spans="1:71">
      <c r="A25" s="262" t="s">
        <v>1690</v>
      </c>
      <c r="E25" s="239"/>
      <c r="H25" s="40"/>
      <c r="K25" s="40"/>
      <c r="N25" s="40"/>
      <c r="Q25" s="40"/>
      <c r="T25" s="40"/>
      <c r="W25" s="40"/>
      <c r="Z25" s="40"/>
      <c r="AC25" s="40"/>
      <c r="AF25" s="409"/>
      <c r="AI25" s="40"/>
      <c r="AL25" s="40"/>
      <c r="AN25" s="261" t="str">
        <f t="shared" si="1"/>
        <v xml:space="preserve">Estonian Kroon </v>
      </c>
      <c r="AR25" s="40"/>
      <c r="AU25" s="40"/>
      <c r="AX25" s="40"/>
      <c r="BA25" s="40"/>
      <c r="BD25" s="40"/>
      <c r="BG25" s="40"/>
      <c r="BJ25" s="40"/>
      <c r="BM25" s="40"/>
      <c r="BN25" s="239"/>
      <c r="BO25" s="239"/>
      <c r="BP25" s="40"/>
      <c r="BS25" s="351">
        <f t="shared" si="0"/>
        <v>0</v>
      </c>
    </row>
    <row r="26" spans="1:71">
      <c r="A26" s="262" t="s">
        <v>483</v>
      </c>
      <c r="E26" s="239"/>
      <c r="H26" s="40"/>
      <c r="K26" s="40"/>
      <c r="N26" s="40"/>
      <c r="Q26" s="40"/>
      <c r="T26" s="40"/>
      <c r="W26" s="40"/>
      <c r="Z26" s="40"/>
      <c r="AC26" s="40"/>
      <c r="AF26" s="409"/>
      <c r="AI26" s="40"/>
      <c r="AL26" s="40"/>
      <c r="AN26" s="261" t="str">
        <f t="shared" si="1"/>
        <v xml:space="preserve">Euro Currency Unit </v>
      </c>
      <c r="AR26" s="40"/>
      <c r="AU26" s="40"/>
      <c r="AX26" s="40"/>
      <c r="BA26" s="40"/>
      <c r="BD26" s="40"/>
      <c r="BG26" s="40"/>
      <c r="BJ26" s="40"/>
      <c r="BM26" s="40"/>
      <c r="BN26" s="239"/>
      <c r="BO26" s="239"/>
      <c r="BP26" s="40"/>
      <c r="BS26" s="351">
        <f t="shared" si="0"/>
        <v>0</v>
      </c>
    </row>
    <row r="27" spans="1:71">
      <c r="A27" s="262" t="s">
        <v>484</v>
      </c>
      <c r="E27" s="239"/>
      <c r="H27" s="40"/>
      <c r="K27" s="40"/>
      <c r="N27" s="40"/>
      <c r="Q27" s="40"/>
      <c r="T27" s="40"/>
      <c r="W27" s="40"/>
      <c r="Z27" s="40"/>
      <c r="AC27" s="40"/>
      <c r="AF27" s="409"/>
      <c r="AI27" s="40"/>
      <c r="AL27" s="40"/>
      <c r="AN27" s="261" t="str">
        <f t="shared" si="1"/>
        <v xml:space="preserve">Hong Kong Dollar </v>
      </c>
      <c r="AR27" s="40"/>
      <c r="AU27" s="40"/>
      <c r="AX27" s="40"/>
      <c r="BA27" s="40"/>
      <c r="BD27" s="40"/>
      <c r="BG27" s="40"/>
      <c r="BJ27" s="40"/>
      <c r="BM27" s="40"/>
      <c r="BN27" s="239"/>
      <c r="BO27" s="239"/>
      <c r="BP27" s="40"/>
      <c r="BS27" s="351">
        <f t="shared" si="0"/>
        <v>0</v>
      </c>
    </row>
    <row r="28" spans="1:71">
      <c r="A28" s="262" t="s">
        <v>451</v>
      </c>
      <c r="E28" s="239"/>
      <c r="H28" s="40"/>
      <c r="K28" s="40"/>
      <c r="N28" s="40"/>
      <c r="Q28" s="40"/>
      <c r="T28" s="40"/>
      <c r="W28" s="40"/>
      <c r="Z28" s="40"/>
      <c r="AC28" s="40"/>
      <c r="AF28" s="409"/>
      <c r="AI28" s="40"/>
      <c r="AL28" s="40"/>
      <c r="AN28" s="261" t="str">
        <f t="shared" si="1"/>
        <v xml:space="preserve">Hungarian Forint </v>
      </c>
      <c r="AR28" s="40"/>
      <c r="AU28" s="40"/>
      <c r="AX28" s="40"/>
      <c r="BA28" s="40"/>
      <c r="BD28" s="40"/>
      <c r="BG28" s="40"/>
      <c r="BJ28" s="40"/>
      <c r="BM28" s="40"/>
      <c r="BN28" s="239"/>
      <c r="BO28" s="239"/>
      <c r="BP28" s="40"/>
      <c r="BS28" s="351">
        <f t="shared" si="0"/>
        <v>0</v>
      </c>
    </row>
    <row r="29" spans="1:71">
      <c r="A29" s="262" t="s">
        <v>452</v>
      </c>
      <c r="E29" s="239"/>
      <c r="H29" s="40"/>
      <c r="K29" s="40"/>
      <c r="N29" s="40"/>
      <c r="Q29" s="40"/>
      <c r="T29" s="40"/>
      <c r="W29" s="40"/>
      <c r="Z29" s="40"/>
      <c r="AC29" s="40"/>
      <c r="AF29" s="409"/>
      <c r="AI29" s="40"/>
      <c r="AL29" s="40"/>
      <c r="AN29" s="261" t="str">
        <f t="shared" si="1"/>
        <v xml:space="preserve">Indian Rupee </v>
      </c>
      <c r="AR29" s="40"/>
      <c r="AU29" s="40"/>
      <c r="AX29" s="40"/>
      <c r="BA29" s="40"/>
      <c r="BD29" s="40"/>
      <c r="BG29" s="40"/>
      <c r="BJ29" s="40"/>
      <c r="BM29" s="40"/>
      <c r="BN29" s="239"/>
      <c r="BO29" s="239"/>
      <c r="BP29" s="40"/>
      <c r="BS29" s="351">
        <f t="shared" si="0"/>
        <v>0</v>
      </c>
    </row>
    <row r="30" spans="1:71">
      <c r="A30" s="262" t="s">
        <v>935</v>
      </c>
      <c r="E30" s="239"/>
      <c r="H30" s="40"/>
      <c r="K30" s="40"/>
      <c r="N30" s="40"/>
      <c r="Q30" s="40"/>
      <c r="T30" s="40"/>
      <c r="W30" s="40"/>
      <c r="Z30" s="40"/>
      <c r="AC30" s="40"/>
      <c r="AF30" s="409"/>
      <c r="AI30" s="40"/>
      <c r="AL30" s="40"/>
      <c r="AN30" s="261" t="str">
        <f t="shared" si="1"/>
        <v>Indonesian Rupiah</v>
      </c>
      <c r="AR30" s="40"/>
      <c r="AU30" s="40"/>
      <c r="AX30" s="40"/>
      <c r="BA30" s="40"/>
      <c r="BD30" s="40"/>
      <c r="BG30" s="40"/>
      <c r="BJ30" s="40"/>
      <c r="BM30" s="40"/>
      <c r="BN30" s="239"/>
      <c r="BO30" s="239"/>
      <c r="BP30" s="40"/>
      <c r="BS30" s="351">
        <f t="shared" si="0"/>
        <v>0</v>
      </c>
    </row>
    <row r="31" spans="1:71">
      <c r="A31" s="262" t="s">
        <v>453</v>
      </c>
      <c r="E31" s="239"/>
      <c r="H31" s="40"/>
      <c r="K31" s="40"/>
      <c r="N31" s="40"/>
      <c r="Q31" s="40"/>
      <c r="T31" s="40"/>
      <c r="W31" s="40"/>
      <c r="Z31" s="40"/>
      <c r="AC31" s="40"/>
      <c r="AF31" s="409"/>
      <c r="AI31" s="40"/>
      <c r="AL31" s="40"/>
      <c r="AN31" s="261" t="str">
        <f t="shared" si="1"/>
        <v xml:space="preserve">Israeli Shekel </v>
      </c>
      <c r="AR31" s="40"/>
      <c r="AU31" s="40"/>
      <c r="AX31" s="40"/>
      <c r="BA31" s="40"/>
      <c r="BD31" s="40"/>
      <c r="BG31" s="40"/>
      <c r="BJ31" s="40"/>
      <c r="BM31" s="40"/>
      <c r="BN31" s="239"/>
      <c r="BO31" s="239"/>
      <c r="BP31" s="40"/>
      <c r="BS31" s="351">
        <f t="shared" si="0"/>
        <v>0</v>
      </c>
    </row>
    <row r="32" spans="1:71">
      <c r="A32" s="262" t="s">
        <v>454</v>
      </c>
      <c r="E32" s="239"/>
      <c r="H32" s="40"/>
      <c r="K32" s="40"/>
      <c r="N32" s="40"/>
      <c r="Q32" s="40"/>
      <c r="T32" s="40"/>
      <c r="W32" s="40"/>
      <c r="Z32" s="40"/>
      <c r="AC32" s="40"/>
      <c r="AF32" s="409"/>
      <c r="AI32" s="40"/>
      <c r="AL32" s="40"/>
      <c r="AN32" s="261" t="str">
        <f t="shared" si="1"/>
        <v xml:space="preserve">Japanese Yen </v>
      </c>
      <c r="AR32" s="40"/>
      <c r="AU32" s="40"/>
      <c r="AX32" s="40"/>
      <c r="BA32" s="40"/>
      <c r="BD32" s="40"/>
      <c r="BG32" s="40"/>
      <c r="BJ32" s="40"/>
      <c r="BM32" s="40"/>
      <c r="BN32" s="239"/>
      <c r="BO32" s="239"/>
      <c r="BP32" s="40"/>
      <c r="BS32" s="351">
        <f t="shared" si="0"/>
        <v>0</v>
      </c>
    </row>
    <row r="33" spans="1:71">
      <c r="A33" s="262" t="s">
        <v>455</v>
      </c>
      <c r="E33" s="239"/>
      <c r="H33" s="40"/>
      <c r="K33" s="40"/>
      <c r="N33" s="40"/>
      <c r="Q33" s="40"/>
      <c r="T33" s="40"/>
      <c r="W33" s="40"/>
      <c r="Z33" s="40"/>
      <c r="AC33" s="40"/>
      <c r="AF33" s="409"/>
      <c r="AI33" s="40"/>
      <c r="AL33" s="40"/>
      <c r="AN33" s="261" t="str">
        <f t="shared" si="1"/>
        <v xml:space="preserve">Malaysian Ringgit </v>
      </c>
      <c r="AR33" s="40"/>
      <c r="AU33" s="40"/>
      <c r="AX33" s="40"/>
      <c r="BA33" s="40"/>
      <c r="BD33" s="40"/>
      <c r="BG33" s="40"/>
      <c r="BJ33" s="40"/>
      <c r="BM33" s="40"/>
      <c r="BN33" s="239"/>
      <c r="BO33" s="239"/>
      <c r="BP33" s="40"/>
      <c r="BS33" s="351">
        <f t="shared" si="0"/>
        <v>0</v>
      </c>
    </row>
    <row r="34" spans="1:71">
      <c r="A34" s="262" t="s">
        <v>1094</v>
      </c>
      <c r="E34" s="239"/>
      <c r="H34" s="40"/>
      <c r="K34" s="40"/>
      <c r="N34" s="40"/>
      <c r="Q34" s="40"/>
      <c r="T34" s="40"/>
      <c r="W34" s="40"/>
      <c r="Z34" s="40"/>
      <c r="AC34" s="40"/>
      <c r="AF34" s="409"/>
      <c r="AI34" s="40"/>
      <c r="AL34" s="40"/>
      <c r="AN34" s="261" t="str">
        <f t="shared" si="1"/>
        <v xml:space="preserve">Mexican Peso </v>
      </c>
      <c r="AR34" s="40"/>
      <c r="AU34" s="40"/>
      <c r="AX34" s="40"/>
      <c r="BA34" s="40"/>
      <c r="BD34" s="40"/>
      <c r="BG34" s="40"/>
      <c r="BJ34" s="40"/>
      <c r="BM34" s="40"/>
      <c r="BN34" s="239"/>
      <c r="BO34" s="239"/>
      <c r="BP34" s="40"/>
      <c r="BS34" s="351">
        <f t="shared" si="0"/>
        <v>0</v>
      </c>
    </row>
    <row r="35" spans="1:71">
      <c r="A35" s="262" t="s">
        <v>456</v>
      </c>
      <c r="E35" s="239"/>
      <c r="H35" s="40"/>
      <c r="K35" s="40"/>
      <c r="N35" s="40"/>
      <c r="Q35" s="40"/>
      <c r="T35" s="40"/>
      <c r="W35" s="40"/>
      <c r="Z35" s="40"/>
      <c r="AC35" s="40"/>
      <c r="AF35" s="409"/>
      <c r="AI35" s="40"/>
      <c r="AL35" s="40"/>
      <c r="AN35" s="261" t="str">
        <f t="shared" si="1"/>
        <v xml:space="preserve">New Taiwan Dollar </v>
      </c>
      <c r="AR35" s="40"/>
      <c r="AU35" s="40"/>
      <c r="AX35" s="40"/>
      <c r="BA35" s="40"/>
      <c r="BD35" s="40"/>
      <c r="BG35" s="40"/>
      <c r="BJ35" s="40"/>
      <c r="BM35" s="40"/>
      <c r="BN35" s="239"/>
      <c r="BO35" s="239"/>
      <c r="BP35" s="40"/>
      <c r="BS35" s="351">
        <f t="shared" si="0"/>
        <v>0</v>
      </c>
    </row>
    <row r="36" spans="1:71">
      <c r="A36" s="262" t="s">
        <v>457</v>
      </c>
      <c r="E36" s="239"/>
      <c r="H36" s="40"/>
      <c r="K36" s="40"/>
      <c r="N36" s="40"/>
      <c r="Q36" s="40"/>
      <c r="T36" s="40"/>
      <c r="W36" s="40"/>
      <c r="Z36" s="40"/>
      <c r="AC36" s="40"/>
      <c r="AF36" s="409"/>
      <c r="AI36" s="40"/>
      <c r="AL36" s="40"/>
      <c r="AN36" s="261" t="str">
        <f t="shared" si="1"/>
        <v xml:space="preserve">New Zealand Dollar </v>
      </c>
      <c r="AR36" s="40"/>
      <c r="AU36" s="40"/>
      <c r="AX36" s="40"/>
      <c r="BA36" s="40"/>
      <c r="BD36" s="40"/>
      <c r="BG36" s="40"/>
      <c r="BJ36" s="40"/>
      <c r="BM36" s="40"/>
      <c r="BN36" s="239"/>
      <c r="BO36" s="239"/>
      <c r="BP36" s="40"/>
      <c r="BS36" s="351">
        <f t="shared" si="0"/>
        <v>0</v>
      </c>
    </row>
    <row r="37" spans="1:71">
      <c r="A37" s="262" t="s">
        <v>458</v>
      </c>
      <c r="E37" s="239"/>
      <c r="H37" s="40"/>
      <c r="K37" s="40"/>
      <c r="N37" s="40"/>
      <c r="Q37" s="40"/>
      <c r="T37" s="40"/>
      <c r="W37" s="40"/>
      <c r="Z37" s="40"/>
      <c r="AC37" s="40"/>
      <c r="AF37" s="409"/>
      <c r="AI37" s="40"/>
      <c r="AL37" s="40"/>
      <c r="AN37" s="261" t="str">
        <f t="shared" si="1"/>
        <v xml:space="preserve">Norwegian Krone </v>
      </c>
      <c r="AR37" s="40"/>
      <c r="AU37" s="40"/>
      <c r="AX37" s="40"/>
      <c r="BA37" s="40"/>
      <c r="BD37" s="40"/>
      <c r="BG37" s="40"/>
      <c r="BJ37" s="40"/>
      <c r="BM37" s="40"/>
      <c r="BN37" s="239"/>
      <c r="BO37" s="239"/>
      <c r="BP37" s="40"/>
      <c r="BS37" s="351">
        <f t="shared" si="0"/>
        <v>0</v>
      </c>
    </row>
    <row r="38" spans="1:71">
      <c r="A38" s="262" t="s">
        <v>1691</v>
      </c>
      <c r="E38" s="239"/>
      <c r="H38" s="40"/>
      <c r="K38" s="40"/>
      <c r="N38" s="40"/>
      <c r="Q38" s="40"/>
      <c r="T38" s="40"/>
      <c r="W38" s="40"/>
      <c r="Z38" s="40"/>
      <c r="AC38" s="40"/>
      <c r="AF38" s="409"/>
      <c r="AI38" s="40"/>
      <c r="AL38" s="40"/>
      <c r="AN38" s="261" t="str">
        <f t="shared" si="1"/>
        <v xml:space="preserve">Pakistani Rupee </v>
      </c>
      <c r="AR38" s="40"/>
      <c r="AU38" s="40"/>
      <c r="AX38" s="40"/>
      <c r="BA38" s="40"/>
      <c r="BD38" s="40"/>
      <c r="BG38" s="40"/>
      <c r="BJ38" s="40"/>
      <c r="BM38" s="40"/>
      <c r="BN38" s="239"/>
      <c r="BO38" s="239"/>
      <c r="BP38" s="40"/>
      <c r="BS38" s="351">
        <f t="shared" si="0"/>
        <v>0</v>
      </c>
    </row>
    <row r="39" spans="1:71">
      <c r="A39" s="262" t="s">
        <v>1452</v>
      </c>
      <c r="E39" s="239"/>
      <c r="H39" s="40"/>
      <c r="K39" s="40"/>
      <c r="N39" s="40"/>
      <c r="Q39" s="40"/>
      <c r="T39" s="40"/>
      <c r="W39" s="40"/>
      <c r="Z39" s="40"/>
      <c r="AC39" s="40"/>
      <c r="AF39" s="409"/>
      <c r="AI39" s="40"/>
      <c r="AL39" s="40"/>
      <c r="AN39" s="261" t="str">
        <f t="shared" si="1"/>
        <v xml:space="preserve">Peruvian Sol </v>
      </c>
      <c r="AR39" s="40"/>
      <c r="AU39" s="40"/>
      <c r="AX39" s="40"/>
      <c r="BA39" s="40"/>
      <c r="BD39" s="40"/>
      <c r="BG39" s="40"/>
      <c r="BJ39" s="40"/>
      <c r="BM39" s="40"/>
      <c r="BN39" s="239"/>
      <c r="BO39" s="239"/>
      <c r="BP39" s="40"/>
      <c r="BS39" s="351">
        <f t="shared" si="0"/>
        <v>0</v>
      </c>
    </row>
    <row r="40" spans="1:71">
      <c r="A40" s="262" t="s">
        <v>189</v>
      </c>
      <c r="C40" s="38"/>
      <c r="D40" s="38"/>
      <c r="E40" s="239"/>
      <c r="H40" s="40"/>
      <c r="K40" s="40"/>
      <c r="N40" s="40"/>
      <c r="Q40" s="40"/>
      <c r="T40" s="40"/>
      <c r="W40" s="40"/>
      <c r="Z40" s="40"/>
      <c r="AC40" s="40"/>
      <c r="AF40" s="409"/>
      <c r="AI40" s="40"/>
      <c r="AL40" s="40"/>
      <c r="AN40" s="261" t="str">
        <f t="shared" si="1"/>
        <v xml:space="preserve">Philippines Peso </v>
      </c>
      <c r="AR40" s="40"/>
      <c r="AU40" s="40"/>
      <c r="AX40" s="40"/>
      <c r="BA40" s="40"/>
      <c r="BD40" s="40"/>
      <c r="BG40" s="40"/>
      <c r="BJ40" s="40"/>
      <c r="BM40" s="40"/>
      <c r="BN40" s="239"/>
      <c r="BO40" s="239"/>
      <c r="BP40" s="40"/>
      <c r="BS40" s="351">
        <f t="shared" si="0"/>
        <v>0</v>
      </c>
    </row>
    <row r="41" spans="1:71">
      <c r="A41" s="262" t="s">
        <v>190</v>
      </c>
      <c r="E41" s="239"/>
      <c r="H41" s="40"/>
      <c r="K41" s="40"/>
      <c r="N41" s="40"/>
      <c r="Q41" s="40"/>
      <c r="T41" s="40"/>
      <c r="W41" s="40"/>
      <c r="Z41" s="40"/>
      <c r="AC41" s="40"/>
      <c r="AF41" s="409"/>
      <c r="AI41" s="40"/>
      <c r="AL41" s="40"/>
      <c r="AN41" s="261" t="str">
        <f t="shared" si="1"/>
        <v xml:space="preserve">Polish Zloty </v>
      </c>
      <c r="AR41" s="40"/>
      <c r="AU41" s="40"/>
      <c r="AX41" s="40"/>
      <c r="BA41" s="40"/>
      <c r="BD41" s="40"/>
      <c r="BG41" s="40"/>
      <c r="BJ41" s="40"/>
      <c r="BM41" s="40"/>
      <c r="BN41" s="239"/>
      <c r="BO41" s="239"/>
      <c r="BP41" s="40"/>
      <c r="BS41" s="351">
        <f t="shared" si="0"/>
        <v>0</v>
      </c>
    </row>
    <row r="42" spans="1:71">
      <c r="A42" s="262" t="s">
        <v>1418</v>
      </c>
      <c r="E42" s="239"/>
      <c r="H42" s="40"/>
      <c r="K42" s="40"/>
      <c r="N42" s="40"/>
      <c r="Q42" s="40"/>
      <c r="T42" s="40"/>
      <c r="W42" s="40"/>
      <c r="Z42" s="40"/>
      <c r="AC42" s="40"/>
      <c r="AF42" s="409"/>
      <c r="AI42" s="40"/>
      <c r="AL42" s="40"/>
      <c r="AN42" s="261" t="str">
        <f t="shared" si="1"/>
        <v>Russian Ruble</v>
      </c>
      <c r="AR42" s="40"/>
      <c r="AU42" s="40"/>
      <c r="AX42" s="40"/>
      <c r="BA42" s="40"/>
      <c r="BD42" s="40"/>
      <c r="BG42" s="40"/>
      <c r="BJ42" s="40"/>
      <c r="BM42" s="40"/>
      <c r="BN42" s="239"/>
      <c r="BO42" s="239"/>
      <c r="BP42" s="40"/>
      <c r="BS42" s="351">
        <f t="shared" si="0"/>
        <v>0</v>
      </c>
    </row>
    <row r="43" spans="1:71">
      <c r="A43" s="262" t="s">
        <v>191</v>
      </c>
      <c r="E43" s="239"/>
      <c r="H43" s="40"/>
      <c r="K43" s="40"/>
      <c r="N43" s="40"/>
      <c r="Q43" s="40"/>
      <c r="T43" s="40"/>
      <c r="W43" s="40"/>
      <c r="Z43" s="40"/>
      <c r="AC43" s="40"/>
      <c r="AF43" s="409"/>
      <c r="AI43" s="40"/>
      <c r="AL43" s="40"/>
      <c r="AN43" s="261" t="str">
        <f t="shared" si="1"/>
        <v xml:space="preserve">Singapore Dollar </v>
      </c>
      <c r="AR43" s="40"/>
      <c r="AU43" s="40"/>
      <c r="AX43" s="40"/>
      <c r="BA43" s="40"/>
      <c r="BD43" s="40"/>
      <c r="BG43" s="40"/>
      <c r="BJ43" s="40"/>
      <c r="BM43" s="40"/>
      <c r="BN43" s="239"/>
      <c r="BO43" s="239"/>
      <c r="BP43" s="40"/>
      <c r="BS43" s="351">
        <f t="shared" si="0"/>
        <v>0</v>
      </c>
    </row>
    <row r="44" spans="1:71">
      <c r="A44" s="262" t="s">
        <v>1453</v>
      </c>
      <c r="E44" s="239"/>
      <c r="H44" s="40"/>
      <c r="K44" s="40"/>
      <c r="N44" s="40"/>
      <c r="Q44" s="40"/>
      <c r="T44" s="40"/>
      <c r="W44" s="40"/>
      <c r="Z44" s="40"/>
      <c r="AC44" s="40"/>
      <c r="AF44" s="409"/>
      <c r="AI44" s="40"/>
      <c r="AL44" s="40"/>
      <c r="AN44" s="261" t="str">
        <f t="shared" si="1"/>
        <v xml:space="preserve">South African Rand </v>
      </c>
      <c r="AR44" s="40"/>
      <c r="AU44" s="40"/>
      <c r="AX44" s="40"/>
      <c r="BA44" s="40"/>
      <c r="BD44" s="40"/>
      <c r="BG44" s="40"/>
      <c r="BJ44" s="40"/>
      <c r="BM44" s="40"/>
      <c r="BN44" s="239"/>
      <c r="BO44" s="239"/>
      <c r="BP44" s="40"/>
      <c r="BS44" s="351">
        <f t="shared" si="0"/>
        <v>0</v>
      </c>
    </row>
    <row r="45" spans="1:71">
      <c r="A45" s="262" t="s">
        <v>192</v>
      </c>
      <c r="E45" s="239"/>
      <c r="H45" s="40"/>
      <c r="K45" s="40"/>
      <c r="N45" s="40"/>
      <c r="Q45" s="40"/>
      <c r="T45" s="40"/>
      <c r="W45" s="40"/>
      <c r="Z45" s="40"/>
      <c r="AC45" s="40"/>
      <c r="AF45" s="409"/>
      <c r="AI45" s="40"/>
      <c r="AL45" s="40"/>
      <c r="AN45" s="261" t="str">
        <f t="shared" si="1"/>
        <v xml:space="preserve">South Korean Won </v>
      </c>
      <c r="AR45" s="40"/>
      <c r="AU45" s="40"/>
      <c r="AX45" s="40"/>
      <c r="BA45" s="40"/>
      <c r="BD45" s="40"/>
      <c r="BG45" s="40"/>
      <c r="BJ45" s="40"/>
      <c r="BM45" s="40"/>
      <c r="BN45" s="239"/>
      <c r="BO45" s="239"/>
      <c r="BP45" s="40"/>
      <c r="BS45" s="351">
        <f t="shared" si="0"/>
        <v>0</v>
      </c>
    </row>
    <row r="46" spans="1:71">
      <c r="A46" s="262" t="s">
        <v>193</v>
      </c>
      <c r="E46" s="239"/>
      <c r="H46" s="40"/>
      <c r="K46" s="40"/>
      <c r="N46" s="40"/>
      <c r="Q46" s="40"/>
      <c r="T46" s="40"/>
      <c r="W46" s="40"/>
      <c r="Z46" s="40"/>
      <c r="AC46" s="40"/>
      <c r="AF46" s="409"/>
      <c r="AI46" s="40"/>
      <c r="AL46" s="40"/>
      <c r="AN46" s="261" t="str">
        <f t="shared" si="1"/>
        <v xml:space="preserve">Sri Lanka Rupee </v>
      </c>
      <c r="AR46" s="40"/>
      <c r="AU46" s="40"/>
      <c r="AX46" s="40"/>
      <c r="BA46" s="40"/>
      <c r="BD46" s="40"/>
      <c r="BG46" s="40"/>
      <c r="BJ46" s="40"/>
      <c r="BM46" s="40"/>
      <c r="BN46" s="239"/>
      <c r="BO46" s="239"/>
      <c r="BP46" s="40"/>
      <c r="BS46" s="351">
        <f t="shared" si="0"/>
        <v>0</v>
      </c>
    </row>
    <row r="47" spans="1:71">
      <c r="A47" s="262" t="s">
        <v>474</v>
      </c>
      <c r="E47" s="239"/>
      <c r="H47" s="40"/>
      <c r="K47" s="40"/>
      <c r="N47" s="40"/>
      <c r="Q47" s="40"/>
      <c r="T47" s="40"/>
      <c r="W47" s="40"/>
      <c r="Z47" s="40"/>
      <c r="AC47" s="40"/>
      <c r="AF47" s="409"/>
      <c r="AI47" s="40"/>
      <c r="AL47" s="40"/>
      <c r="AN47" s="261" t="str">
        <f t="shared" si="1"/>
        <v xml:space="preserve">Swedish Krona </v>
      </c>
      <c r="AR47" s="40"/>
      <c r="AU47" s="40"/>
      <c r="AX47" s="40"/>
      <c r="BA47" s="40"/>
      <c r="BD47" s="40"/>
      <c r="BG47" s="40"/>
      <c r="BJ47" s="40"/>
      <c r="BM47" s="40"/>
      <c r="BN47" s="239"/>
      <c r="BO47" s="239"/>
      <c r="BP47" s="40"/>
      <c r="BS47" s="351">
        <f t="shared" si="0"/>
        <v>0</v>
      </c>
    </row>
    <row r="48" spans="1:71">
      <c r="A48" s="262" t="s">
        <v>227</v>
      </c>
      <c r="E48" s="239"/>
      <c r="H48" s="40"/>
      <c r="K48" s="40"/>
      <c r="N48" s="40"/>
      <c r="Q48" s="40"/>
      <c r="T48" s="40"/>
      <c r="W48" s="40"/>
      <c r="Z48" s="40"/>
      <c r="AC48" s="40"/>
      <c r="AF48" s="409"/>
      <c r="AI48" s="40"/>
      <c r="AL48" s="40"/>
      <c r="AN48" s="261" t="str">
        <f t="shared" si="1"/>
        <v xml:space="preserve">Swiss Franc </v>
      </c>
      <c r="AR48" s="40"/>
      <c r="AU48" s="40"/>
      <c r="AX48" s="40"/>
      <c r="BA48" s="40"/>
      <c r="BD48" s="40"/>
      <c r="BG48" s="40"/>
      <c r="BJ48" s="40"/>
      <c r="BM48" s="40"/>
      <c r="BN48" s="239"/>
      <c r="BO48" s="239"/>
      <c r="BP48" s="40"/>
      <c r="BS48" s="351">
        <f t="shared" si="0"/>
        <v>0</v>
      </c>
    </row>
    <row r="49" spans="1:71">
      <c r="A49" s="262" t="s">
        <v>228</v>
      </c>
      <c r="E49" s="239"/>
      <c r="H49" s="40"/>
      <c r="K49" s="40"/>
      <c r="N49" s="40"/>
      <c r="Q49" s="40"/>
      <c r="T49" s="40"/>
      <c r="W49" s="40"/>
      <c r="Z49" s="40"/>
      <c r="AC49" s="40"/>
      <c r="AF49" s="409"/>
      <c r="AI49" s="40"/>
      <c r="AL49" s="40"/>
      <c r="AN49" s="261" t="str">
        <f t="shared" si="1"/>
        <v xml:space="preserve">Thailand Baht </v>
      </c>
      <c r="AR49" s="40"/>
      <c r="AU49" s="40"/>
      <c r="AX49" s="40"/>
      <c r="BA49" s="40"/>
      <c r="BD49" s="40"/>
      <c r="BG49" s="40"/>
      <c r="BJ49" s="40"/>
      <c r="BM49" s="40"/>
      <c r="BN49" s="239"/>
      <c r="BO49" s="239"/>
      <c r="BP49" s="40"/>
      <c r="BS49" s="351">
        <f t="shared" si="0"/>
        <v>0</v>
      </c>
    </row>
    <row r="50" spans="1:71">
      <c r="A50" s="262" t="s">
        <v>229</v>
      </c>
      <c r="E50" s="239"/>
      <c r="H50" s="40"/>
      <c r="K50" s="40"/>
      <c r="N50" s="40"/>
      <c r="Q50" s="40"/>
      <c r="T50" s="40"/>
      <c r="W50" s="40"/>
      <c r="Z50" s="40"/>
      <c r="AC50" s="40"/>
      <c r="AF50" s="409"/>
      <c r="AI50" s="40"/>
      <c r="AL50" s="40"/>
      <c r="AN50" s="261" t="str">
        <f t="shared" si="1"/>
        <v xml:space="preserve">Turkish Lira </v>
      </c>
      <c r="AR50" s="40"/>
      <c r="AU50" s="40"/>
      <c r="AX50" s="40"/>
      <c r="BA50" s="40"/>
      <c r="BD50" s="40"/>
      <c r="BG50" s="40"/>
      <c r="BJ50" s="40"/>
      <c r="BM50" s="40"/>
      <c r="BN50" s="239"/>
      <c r="BO50" s="239"/>
      <c r="BP50" s="40"/>
      <c r="BS50" s="351">
        <f t="shared" si="0"/>
        <v>0</v>
      </c>
    </row>
    <row r="51" spans="1:71">
      <c r="A51" s="262" t="s">
        <v>1684</v>
      </c>
      <c r="E51" s="239"/>
      <c r="H51" s="40"/>
      <c r="K51" s="40"/>
      <c r="N51" s="40"/>
      <c r="Q51" s="40"/>
      <c r="T51" s="40"/>
      <c r="W51" s="40"/>
      <c r="Z51" s="40"/>
      <c r="AC51" s="40"/>
      <c r="AF51" s="409"/>
      <c r="AI51" s="40"/>
      <c r="AL51" s="40"/>
      <c r="AN51" s="261" t="str">
        <f t="shared" si="1"/>
        <v>United Arab Emirates Dollar</v>
      </c>
      <c r="AR51" s="40"/>
      <c r="AU51" s="40"/>
      <c r="AX51" s="40"/>
      <c r="BA51" s="40"/>
      <c r="BD51" s="40"/>
      <c r="BG51" s="40"/>
      <c r="BJ51" s="40"/>
      <c r="BM51" s="40"/>
      <c r="BN51" s="239"/>
      <c r="BO51" s="239"/>
      <c r="BP51" s="40"/>
      <c r="BS51" s="351">
        <f t="shared" si="0"/>
        <v>0</v>
      </c>
    </row>
    <row r="52" spans="1:71">
      <c r="A52" s="262" t="s">
        <v>1685</v>
      </c>
      <c r="E52" s="239"/>
      <c r="H52" s="40"/>
      <c r="K52" s="40"/>
      <c r="N52" s="40"/>
      <c r="Q52" s="40"/>
      <c r="T52" s="40"/>
      <c r="W52" s="40"/>
      <c r="Z52" s="40"/>
      <c r="AC52" s="40"/>
      <c r="AF52" s="409"/>
      <c r="AI52" s="40"/>
      <c r="AL52" s="40"/>
      <c r="AN52" s="261" t="str">
        <f t="shared" ref="AN52" si="6">A52</f>
        <v>Uruguayan Peso</v>
      </c>
      <c r="AR52" s="40"/>
      <c r="AU52" s="40"/>
      <c r="AX52" s="40"/>
      <c r="BA52" s="40"/>
      <c r="BD52" s="40"/>
      <c r="BG52" s="40"/>
      <c r="BJ52" s="40"/>
      <c r="BM52" s="40"/>
      <c r="BN52" s="239"/>
      <c r="BO52" s="239"/>
      <c r="BP52" s="40"/>
      <c r="BS52" s="351">
        <f t="shared" ref="BS52" si="7">SUM(H52:BP52)</f>
        <v>0</v>
      </c>
    </row>
    <row r="53" spans="1:71">
      <c r="A53" s="262" t="s">
        <v>1413</v>
      </c>
      <c r="E53" s="239"/>
      <c r="H53" s="40"/>
      <c r="K53" s="40"/>
      <c r="N53" s="40"/>
      <c r="Q53" s="40"/>
      <c r="T53" s="40"/>
      <c r="W53" s="40"/>
      <c r="Z53" s="40"/>
      <c r="AC53" s="40"/>
      <c r="AF53" s="409"/>
      <c r="AI53" s="40"/>
      <c r="AL53" s="40"/>
      <c r="AN53" s="261" t="str">
        <f t="shared" si="1"/>
        <v xml:space="preserve">US Dollar </v>
      </c>
      <c r="AR53" s="40"/>
      <c r="AU53" s="40"/>
      <c r="AX53" s="40"/>
      <c r="BA53" s="40"/>
      <c r="BD53" s="40"/>
      <c r="BG53" s="40"/>
      <c r="BJ53" s="40"/>
      <c r="BM53" s="40"/>
      <c r="BN53" s="239"/>
      <c r="BO53" s="239"/>
      <c r="BP53" s="40"/>
      <c r="BS53" s="351">
        <f t="shared" si="0"/>
        <v>0</v>
      </c>
    </row>
    <row r="54" spans="1:71">
      <c r="A54" s="262" t="s">
        <v>230</v>
      </c>
      <c r="E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61" t="str">
        <f t="shared" si="1"/>
        <v>Other (Please list)</v>
      </c>
      <c r="BS54" s="351"/>
    </row>
    <row r="55" spans="1:71">
      <c r="A55" s="262"/>
      <c r="B55" s="41"/>
      <c r="E55" s="239"/>
      <c r="H55" s="40"/>
      <c r="K55" s="40"/>
      <c r="N55" s="40"/>
      <c r="Q55" s="40"/>
      <c r="T55" s="40"/>
      <c r="W55" s="40"/>
      <c r="Z55" s="40"/>
      <c r="AC55" s="40"/>
      <c r="AF55" s="409"/>
      <c r="AI55" s="40"/>
      <c r="AL55" s="40"/>
      <c r="AN55" s="262"/>
      <c r="AO55" s="41"/>
      <c r="AR55" s="40"/>
      <c r="AU55" s="40"/>
      <c r="AX55" s="40"/>
      <c r="BA55" s="40"/>
      <c r="BD55" s="40"/>
      <c r="BG55" s="40"/>
      <c r="BJ55" s="40"/>
      <c r="BM55" s="40"/>
      <c r="BN55" s="239"/>
      <c r="BO55" s="239"/>
      <c r="BP55" s="40"/>
      <c r="BS55" s="351">
        <f t="shared" ref="BS55:BS60" si="8">SUM(H55:BP55)</f>
        <v>0</v>
      </c>
    </row>
    <row r="56" spans="1:71">
      <c r="A56" s="262"/>
      <c r="B56" s="41"/>
      <c r="E56" s="239"/>
      <c r="H56" s="40"/>
      <c r="K56" s="40"/>
      <c r="N56" s="40"/>
      <c r="Q56" s="40"/>
      <c r="T56" s="40"/>
      <c r="W56" s="40"/>
      <c r="Z56" s="40"/>
      <c r="AC56" s="40"/>
      <c r="AF56" s="409"/>
      <c r="AI56" s="40"/>
      <c r="AL56" s="40"/>
      <c r="AN56" s="262"/>
      <c r="AO56" s="41"/>
      <c r="AR56" s="40"/>
      <c r="AU56" s="40"/>
      <c r="AX56" s="40"/>
      <c r="BA56" s="40"/>
      <c r="BD56" s="40"/>
      <c r="BG56" s="40"/>
      <c r="BJ56" s="40"/>
      <c r="BM56" s="40"/>
      <c r="BN56" s="239"/>
      <c r="BO56" s="239"/>
      <c r="BP56" s="40"/>
      <c r="BS56" s="351">
        <f t="shared" si="8"/>
        <v>0</v>
      </c>
    </row>
    <row r="57" spans="1:71">
      <c r="A57" s="262"/>
      <c r="B57" s="41"/>
      <c r="E57" s="239"/>
      <c r="H57" s="40"/>
      <c r="K57" s="40"/>
      <c r="N57" s="40"/>
      <c r="Q57" s="40"/>
      <c r="T57" s="40"/>
      <c r="W57" s="40"/>
      <c r="Z57" s="40"/>
      <c r="AC57" s="40"/>
      <c r="AF57" s="409"/>
      <c r="AI57" s="40"/>
      <c r="AL57" s="40"/>
      <c r="AN57" s="262"/>
      <c r="AO57" s="41"/>
      <c r="AR57" s="40"/>
      <c r="AU57" s="40"/>
      <c r="AX57" s="40"/>
      <c r="BA57" s="40"/>
      <c r="BD57" s="40"/>
      <c r="BG57" s="40"/>
      <c r="BJ57" s="40"/>
      <c r="BM57" s="40"/>
      <c r="BN57" s="239"/>
      <c r="BO57" s="239"/>
      <c r="BP57" s="40"/>
      <c r="BS57" s="351">
        <f t="shared" si="8"/>
        <v>0</v>
      </c>
    </row>
    <row r="58" spans="1:71">
      <c r="A58" s="262"/>
      <c r="B58" s="41"/>
      <c r="E58" s="239"/>
      <c r="H58" s="40"/>
      <c r="K58" s="40"/>
      <c r="N58" s="40"/>
      <c r="Q58" s="40"/>
      <c r="T58" s="40"/>
      <c r="W58" s="40"/>
      <c r="Z58" s="40"/>
      <c r="AC58" s="40"/>
      <c r="AF58" s="409"/>
      <c r="AI58" s="40"/>
      <c r="AL58" s="40"/>
      <c r="AN58" s="262"/>
      <c r="AO58" s="41"/>
      <c r="AR58" s="40"/>
      <c r="AU58" s="40"/>
      <c r="AX58" s="40"/>
      <c r="BA58" s="40"/>
      <c r="BD58" s="40"/>
      <c r="BG58" s="40"/>
      <c r="BJ58" s="40"/>
      <c r="BM58" s="40"/>
      <c r="BN58" s="239"/>
      <c r="BO58" s="239"/>
      <c r="BP58" s="40"/>
      <c r="BS58" s="351">
        <f t="shared" si="8"/>
        <v>0</v>
      </c>
    </row>
    <row r="59" spans="1:71">
      <c r="A59" s="262"/>
      <c r="B59" s="41"/>
      <c r="E59" s="239"/>
      <c r="H59" s="40"/>
      <c r="K59" s="40"/>
      <c r="N59" s="40"/>
      <c r="Q59" s="40"/>
      <c r="T59" s="40"/>
      <c r="W59" s="40"/>
      <c r="Z59" s="40"/>
      <c r="AC59" s="40"/>
      <c r="AF59" s="409"/>
      <c r="AI59" s="40"/>
      <c r="AL59" s="40"/>
      <c r="AN59" s="262"/>
      <c r="AO59" s="41"/>
      <c r="AR59" s="40"/>
      <c r="AU59" s="40"/>
      <c r="AX59" s="40"/>
      <c r="BA59" s="40"/>
      <c r="BD59" s="40"/>
      <c r="BG59" s="40"/>
      <c r="BJ59" s="40"/>
      <c r="BM59" s="40"/>
      <c r="BN59" s="239"/>
      <c r="BO59" s="239"/>
      <c r="BP59" s="40"/>
      <c r="BS59" s="351">
        <f t="shared" si="8"/>
        <v>0</v>
      </c>
    </row>
    <row r="60" spans="1:71">
      <c r="A60" s="262"/>
      <c r="B60" s="41"/>
      <c r="E60" s="239"/>
      <c r="H60" s="40"/>
      <c r="K60" s="40"/>
      <c r="N60" s="40"/>
      <c r="Q60" s="40"/>
      <c r="T60" s="40"/>
      <c r="W60" s="40"/>
      <c r="Z60" s="40"/>
      <c r="AC60" s="40"/>
      <c r="AF60" s="409"/>
      <c r="AI60" s="40"/>
      <c r="AL60" s="40"/>
      <c r="AN60" s="262"/>
      <c r="AO60" s="41"/>
      <c r="AR60" s="40"/>
      <c r="AU60" s="40"/>
      <c r="AX60" s="40"/>
      <c r="BA60" s="40"/>
      <c r="BD60" s="40"/>
      <c r="BG60" s="40"/>
      <c r="BJ60" s="40"/>
      <c r="BM60" s="40"/>
      <c r="BN60" s="239"/>
      <c r="BO60" s="239"/>
      <c r="BP60" s="40"/>
      <c r="BS60" s="351">
        <f t="shared" si="8"/>
        <v>0</v>
      </c>
    </row>
    <row r="61" spans="1:71" ht="13.5" thickBot="1">
      <c r="A61" s="38"/>
      <c r="E61" s="67"/>
      <c r="G61" s="410" t="s">
        <v>668</v>
      </c>
      <c r="H61" s="411">
        <f>SUM(H12:H60)</f>
        <v>0</v>
      </c>
      <c r="J61" s="410" t="s">
        <v>668</v>
      </c>
      <c r="K61" s="411">
        <f>SUM(K12:K60)</f>
        <v>0</v>
      </c>
      <c r="M61" s="410" t="s">
        <v>668</v>
      </c>
      <c r="N61" s="411">
        <f>SUM(N12:N60)</f>
        <v>0</v>
      </c>
      <c r="P61" s="410" t="s">
        <v>668</v>
      </c>
      <c r="Q61" s="411">
        <f>SUM(Q12:Q60)</f>
        <v>0</v>
      </c>
      <c r="S61" s="410" t="s">
        <v>668</v>
      </c>
      <c r="T61" s="411">
        <f>SUM(T12:T60)</f>
        <v>0</v>
      </c>
      <c r="V61" s="410" t="s">
        <v>668</v>
      </c>
      <c r="W61" s="411">
        <f>SUM(W12:W60)</f>
        <v>0</v>
      </c>
      <c r="Y61" s="410" t="s">
        <v>668</v>
      </c>
      <c r="Z61" s="411">
        <f>SUM(Z12:Z60)</f>
        <v>0</v>
      </c>
      <c r="AB61" s="410" t="s">
        <v>668</v>
      </c>
      <c r="AC61" s="411">
        <f>SUM(AC12:AC60)</f>
        <v>0</v>
      </c>
      <c r="AE61" s="410" t="s">
        <v>668</v>
      </c>
      <c r="AF61" s="411">
        <f>SUM(AF12:AF60)</f>
        <v>0</v>
      </c>
      <c r="AH61" s="410" t="s">
        <v>668</v>
      </c>
      <c r="AI61" s="411">
        <f>SUM(AI12:AI60)</f>
        <v>0</v>
      </c>
      <c r="AK61" s="410" t="s">
        <v>668</v>
      </c>
      <c r="AL61" s="411">
        <f>SUM(AL12:AL60)</f>
        <v>0</v>
      </c>
      <c r="AN61" s="38"/>
      <c r="AQ61" s="410" t="s">
        <v>668</v>
      </c>
      <c r="AR61" s="411">
        <f>SUM(AR12:AR60)</f>
        <v>0</v>
      </c>
      <c r="AT61" s="410" t="s">
        <v>668</v>
      </c>
      <c r="AU61" s="411">
        <f>SUM(AU12:AU60)</f>
        <v>0</v>
      </c>
      <c r="AW61" s="410" t="s">
        <v>668</v>
      </c>
      <c r="AX61" s="411">
        <f>SUM(AX12:AX60)</f>
        <v>0</v>
      </c>
      <c r="AZ61" s="410" t="s">
        <v>668</v>
      </c>
      <c r="BA61" s="411">
        <f>SUM(BA12:BA60)</f>
        <v>0</v>
      </c>
      <c r="BC61" s="410" t="s">
        <v>668</v>
      </c>
      <c r="BD61" s="411">
        <f>SUM(BD12:BD60)</f>
        <v>0</v>
      </c>
      <c r="BF61" s="410" t="s">
        <v>668</v>
      </c>
      <c r="BG61" s="411">
        <f>SUM(BG12:BG60)</f>
        <v>0</v>
      </c>
      <c r="BI61" s="410" t="s">
        <v>668</v>
      </c>
      <c r="BJ61" s="411">
        <f>SUM(BJ12:BJ60)</f>
        <v>0</v>
      </c>
      <c r="BL61" s="410" t="s">
        <v>668</v>
      </c>
      <c r="BM61" s="411">
        <f>SUM(BM12:BM60)</f>
        <v>0</v>
      </c>
      <c r="BN61" s="67"/>
      <c r="BO61" s="410" t="s">
        <v>668</v>
      </c>
      <c r="BP61" s="411">
        <f>SUM(BP12:BP60)</f>
        <v>0</v>
      </c>
      <c r="BR61" s="410" t="s">
        <v>668</v>
      </c>
      <c r="BS61" s="412">
        <f>IF(SUM(BS12:BS60)=SUM(H61:BP61),SUM(BS12:BS60),"Error")</f>
        <v>0</v>
      </c>
    </row>
    <row r="62" spans="1:71" ht="13.5" thickTop="1">
      <c r="A62" s="38"/>
      <c r="BS62" s="34" t="str">
        <f>IF(BS61='Tab 1A - Detail'!G318,"Agrees","Error")</f>
        <v>Agrees</v>
      </c>
    </row>
    <row r="63" spans="1:71">
      <c r="A63" s="38"/>
      <c r="BP63" s="1269" t="s">
        <v>47</v>
      </c>
      <c r="BQ63" s="1270"/>
      <c r="BR63" s="1270"/>
      <c r="BS63" s="134">
        <f>SUM(BS61-'Tab 1A - Detail'!G318)</f>
        <v>0</v>
      </c>
    </row>
    <row r="64" spans="1:71">
      <c r="A64" s="38"/>
    </row>
    <row r="65" spans="1:1">
      <c r="A65" s="38"/>
    </row>
    <row r="66" spans="1:1">
      <c r="A66" s="38"/>
    </row>
    <row r="67" spans="1:1">
      <c r="A67" s="38"/>
    </row>
    <row r="68" spans="1:1">
      <c r="A68" s="38"/>
    </row>
    <row r="69" spans="1:1">
      <c r="A69" s="38"/>
    </row>
  </sheetData>
  <sheetProtection algorithmName="SHA-512" hashValue="d85VqKDW5VYrCXXvSqRnMV0ARIq61cbe3NVCNhhLObpQVo1i2rpKyMNScHg5kgsH1//I6V+ubTCPZFiHSlI9+A==" saltValue="cuEuG2TixiC474FHak8vzw==" spinCount="100000" sheet="1" objects="1" scenarios="1"/>
  <customSheetViews>
    <customSheetView guid="{FBB78E72-3FBC-498A-91AC-D094BCE26D3C}" showPageBreaks="1" showGridLines="0" hiddenColumns="1" topLeftCell="A25">
      <selection activeCell="H43" sqref="H43"/>
      <colBreaks count="1" manualBreakCount="1">
        <brk id="39" max="1048575" man="1"/>
      </colBreaks>
      <pageMargins left="0.5" right="0.23" top="0.79" bottom="0.77" header="0.5" footer="0.5"/>
      <pageSetup paperSize="5" scale="50" orientation="landscape"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Columns="1" topLeftCell="A25">
      <selection activeCell="H43" sqref="H43"/>
      <colBreaks count="1" manualBreakCount="1">
        <brk id="39" max="1048575" man="1"/>
      </colBreaks>
      <pageMargins left="0.5" right="0.23" top="0.79" bottom="0.77" header="0.5" footer="0.5"/>
      <pageSetup paperSize="5" scale="50" orientation="landscape"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Columns="1" topLeftCell="A25">
      <selection activeCell="H43" sqref="H43"/>
      <colBreaks count="1" manualBreakCount="1">
        <brk id="39" max="1048575" man="1"/>
      </colBreaks>
      <pageMargins left="0.5" right="0.23" top="0.79" bottom="0.77" header="0.5" footer="0.5"/>
      <pageSetup paperSize="5" scale="50" orientation="landscape"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cale="90" showPageBreaks="1" showGridLines="0" hiddenColumns="1" view="pageBreakPreview">
      <colBreaks count="1" manualBreakCount="1">
        <brk id="39" max="1048575" man="1"/>
      </colBreaks>
      <pageMargins left="0.5" right="0.23" top="0.79" bottom="0.77" header="0.5" footer="0.5"/>
      <pageSetup paperSize="5" scale="50" orientation="landscape"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cale="90" showGridLines="0" hiddenColumns="1">
      <selection activeCell="E3" sqref="E3:K3"/>
      <colBreaks count="1" manualBreakCount="1">
        <brk id="39" max="1048575" man="1"/>
      </colBreaks>
      <pageMargins left="0.5" right="0.23" top="0.79" bottom="0.77" header="0.5" footer="0.5"/>
      <pageSetup paperSize="5" scale="50" orientation="landscape"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9">
    <mergeCell ref="A10:K10"/>
    <mergeCell ref="BP63:BR63"/>
    <mergeCell ref="E1:K1"/>
    <mergeCell ref="E2:K2"/>
    <mergeCell ref="E3:K3"/>
    <mergeCell ref="E4:K4"/>
    <mergeCell ref="E5:K5"/>
    <mergeCell ref="E6:K6"/>
    <mergeCell ref="A9:K9"/>
  </mergeCells>
  <phoneticPr fontId="27" type="noConversion"/>
  <conditionalFormatting sqref="A10:K10">
    <cfRule type="containsText" dxfId="227" priority="2" operator="containsText" text="Answer Required">
      <formula>NOT(ISERROR(SEARCH("Answer Required",A10)))</formula>
    </cfRule>
  </conditionalFormatting>
  <conditionalFormatting sqref="BS62">
    <cfRule type="cellIs" dxfId="226" priority="1" operator="equal">
      <formula>"Error"</formula>
    </cfRule>
  </conditionalFormatting>
  <dataValidations count="2">
    <dataValidation type="whole" allowBlank="1" showInputMessage="1" showErrorMessage="1" error="Please enter a whole number only." sqref="E12:E60 BN12:BN60 BO13:BO60 AF12:AF60" xr:uid="{00000000-0002-0000-0500-000000000000}">
      <formula1>-9999999999999990000</formula1>
      <formula2>9999999999999990000</formula2>
    </dataValidation>
    <dataValidation type="whole" allowBlank="1" showInputMessage="1" showErrorMessage="1" error="Enter a whole number." sqref="H12:H60 AL12:AL60 BM12:BM60 BJ12:BJ60 BG12:BG60 K12:K60 AX12:AX60 AU12:AU60 AR12:AR60 BP12:BP60 AI12:AI60 AC12:AC60 Z12:Z60 W12:W60 T12:T60 Q12:Q60 N12:N60 BA12:BA60 BD12:BD60" xr:uid="{00000000-0002-0000-0500-000001000000}">
      <formula1>-9999999999999</formula1>
      <formula2>9999999999999</formula2>
    </dataValidation>
  </dataValidations>
  <pageMargins left="0.75" right="0.23" top="0.79" bottom="0.77" header="0.5" footer="0.5"/>
  <pageSetup paperSize="5" scale="49" orientation="landscape" cellComments="asDisplayed" r:id="rId6"/>
  <headerFooter alignWithMargins="0">
    <oddHeader>&amp;C&amp;"Times New Roman,Bold"Attachment CU4
Financial Statement Template (FST)
&amp;A</oddHeader>
    <oddFooter>&amp;L&amp;"Times New Roman,Regular"&amp;F \ &amp;A&amp;RPage &amp;P</oddFooter>
  </headerFooter>
  <colBreaks count="1" manualBreakCount="1">
    <brk id="39" max="1048575" man="1"/>
  </colBreaks>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M91"/>
  <sheetViews>
    <sheetView showGridLines="0" zoomScale="80" zoomScaleNormal="80" zoomScaleSheetLayoutView="100" workbookViewId="0">
      <selection activeCell="C3" sqref="C3:E3"/>
    </sheetView>
  </sheetViews>
  <sheetFormatPr defaultColWidth="9.140625" defaultRowHeight="12.75"/>
  <cols>
    <col min="1" max="1" width="17.140625" style="19" customWidth="1"/>
    <col min="2" max="2" width="25.7109375" style="19" customWidth="1"/>
    <col min="3" max="3" width="35.7109375" style="19" customWidth="1"/>
    <col min="4" max="4" width="20.7109375" style="19" customWidth="1"/>
    <col min="5" max="5" width="5.7109375" style="19" customWidth="1"/>
    <col min="6" max="6" width="20.7109375" style="19" customWidth="1"/>
    <col min="7" max="8" width="10.5703125" style="19" customWidth="1"/>
    <col min="9" max="16384" width="9.140625" style="19"/>
  </cols>
  <sheetData>
    <row r="1" spans="1:5">
      <c r="A1" s="18" t="s">
        <v>507</v>
      </c>
      <c r="C1" s="1243" t="str">
        <f>'Component Unit Template'!G1</f>
        <v/>
      </c>
      <c r="D1" s="1297"/>
      <c r="E1" s="1298"/>
    </row>
    <row r="2" spans="1:5" ht="36.950000000000003" customHeight="1">
      <c r="A2" s="18" t="s">
        <v>528</v>
      </c>
      <c r="C2" s="1243" t="str">
        <f>IF('Component Unit Template'!G2="","",'Component Unit Template'!G2)</f>
        <v/>
      </c>
      <c r="D2" s="1297"/>
      <c r="E2" s="1298"/>
    </row>
    <row r="3" spans="1:5">
      <c r="A3" s="18" t="s">
        <v>586</v>
      </c>
      <c r="C3" s="1244" t="str">
        <f>IF('Component Unit Template'!G3="","",'Component Unit Template'!G3)</f>
        <v/>
      </c>
      <c r="D3" s="1299"/>
      <c r="E3" s="1300"/>
    </row>
    <row r="4" spans="1:5">
      <c r="A4" s="18" t="s">
        <v>315</v>
      </c>
      <c r="C4" s="1247" t="str">
        <f>IF('Component Unit Template'!G4="","",'Component Unit Template'!G4)</f>
        <v/>
      </c>
      <c r="D4" s="1301"/>
      <c r="E4" s="1302"/>
    </row>
    <row r="5" spans="1:5">
      <c r="A5" s="18" t="s">
        <v>677</v>
      </c>
      <c r="C5" s="1234" t="str">
        <f>IF('Component Unit Template'!G5="","",'Component Unit Template'!G5)</f>
        <v/>
      </c>
      <c r="D5" s="1303"/>
      <c r="E5" s="1304"/>
    </row>
    <row r="6" spans="1:5">
      <c r="A6" s="18" t="s">
        <v>36</v>
      </c>
      <c r="C6" s="1237" t="str">
        <f>IF('Component Unit Template'!G6="","",'Component Unit Template'!G6)</f>
        <v/>
      </c>
      <c r="D6" s="1286"/>
      <c r="E6" s="1287"/>
    </row>
    <row r="7" spans="1:5">
      <c r="C7" s="21"/>
    </row>
    <row r="8" spans="1:5">
      <c r="A8" s="348"/>
      <c r="B8" s="348"/>
      <c r="C8" s="672"/>
      <c r="D8" s="348"/>
      <c r="E8" s="348"/>
    </row>
    <row r="9" spans="1:5">
      <c r="C9" s="21"/>
    </row>
    <row r="10" spans="1:5">
      <c r="A10" s="111" t="s">
        <v>475</v>
      </c>
    </row>
    <row r="11" spans="1:5">
      <c r="A11" s="330" t="s">
        <v>947</v>
      </c>
    </row>
    <row r="12" spans="1:5">
      <c r="A12" s="19" t="s">
        <v>1279</v>
      </c>
      <c r="B12" s="174"/>
    </row>
    <row r="13" spans="1:5" ht="12.75" customHeight="1">
      <c r="A13" s="19" t="s">
        <v>1278</v>
      </c>
      <c r="B13" s="174"/>
    </row>
    <row r="14" spans="1:5" ht="3.75" customHeight="1">
      <c r="B14" s="174"/>
    </row>
    <row r="15" spans="1:5">
      <c r="A15" s="175"/>
      <c r="B15" s="1291" t="s">
        <v>145</v>
      </c>
      <c r="C15" s="175"/>
      <c r="D15" s="176"/>
    </row>
    <row r="16" spans="1:5">
      <c r="A16" s="673" t="s">
        <v>1005</v>
      </c>
      <c r="B16" s="1292"/>
      <c r="C16" s="177" t="s">
        <v>166</v>
      </c>
      <c r="D16" s="177" t="s">
        <v>1280</v>
      </c>
      <c r="E16" s="29"/>
    </row>
    <row r="17" spans="1:13" ht="73.5" customHeight="1">
      <c r="A17" s="673" t="s">
        <v>628</v>
      </c>
      <c r="B17" s="593" t="s">
        <v>167</v>
      </c>
      <c r="C17" s="171" t="s">
        <v>33</v>
      </c>
      <c r="D17" s="358" t="str">
        <f>IF(OR(SUM('Tab 1A - Detail'!$H$102:$H$105),SUM('Tab 1A - Detail'!$H$108:$H$111),SUM('Tab 1A - Detail'!$E$161:$E$180),SUM('Tab 1A - Detail'!$E$186:$E$205),SUM('Tab 1A - Detail'!$F$210:$F$229),SUM('Tab 1A - Detail'!$F$234:$F$253)&lt;&gt;0),"Answer Required","N/A")</f>
        <v>N/A</v>
      </c>
      <c r="G17" s="111"/>
      <c r="H17" s="111"/>
    </row>
    <row r="18" spans="1:13" ht="71.25" customHeight="1">
      <c r="A18" s="190" t="s">
        <v>34</v>
      </c>
      <c r="B18" s="178" t="s">
        <v>808</v>
      </c>
      <c r="C18" s="172" t="s">
        <v>515</v>
      </c>
      <c r="D18" s="358" t="str">
        <f>IF(OR(SUM('Tab 1A - Detail'!$H$102:$H$105),SUM('Tab 1A - Detail'!$H$108:$H$111),SUM('Tab 1A - Detail'!$E$161:$E$180),SUM('Tab 1A - Detail'!$E$186:$E$205),SUM('Tab 1A - Detail'!$F$210:$F$229),SUM('Tab 1A - Detail'!$F$234:$F$253)&lt;&gt;0),"Answer Required","N/A")</f>
        <v>N/A</v>
      </c>
      <c r="E18" s="19" t="s">
        <v>516</v>
      </c>
      <c r="G18" s="111"/>
      <c r="H18" s="111"/>
    </row>
    <row r="19" spans="1:13" ht="80.099999999999994" customHeight="1">
      <c r="A19" s="190" t="s">
        <v>517</v>
      </c>
      <c r="B19" s="178" t="s">
        <v>523</v>
      </c>
      <c r="C19" s="172" t="s">
        <v>515</v>
      </c>
      <c r="D19" s="358" t="str">
        <f>IF(OR(SUM('Tab 1A - Detail'!$H$102:$H$105),SUM('Tab 1A - Detail'!$H$108:$H$111),SUM('Tab 1A - Detail'!$E$161:$E$180),SUM('Tab 1A - Detail'!$E$186:$E$205),SUM('Tab 1A - Detail'!$F$210:$F$229),SUM('Tab 1A - Detail'!$F$234:$F$253)&lt;&gt;0),"Answer Required","N/A")</f>
        <v>N/A</v>
      </c>
      <c r="E19" s="19" t="s">
        <v>516</v>
      </c>
      <c r="G19" s="111"/>
      <c r="H19" s="111"/>
    </row>
    <row r="20" spans="1:13" ht="72" customHeight="1">
      <c r="A20" s="190" t="s">
        <v>518</v>
      </c>
      <c r="B20" s="178" t="s">
        <v>1021</v>
      </c>
      <c r="C20" s="179" t="s">
        <v>168</v>
      </c>
      <c r="D20" s="358" t="str">
        <f>IF(OR(SUM('Tab 1A - Detail'!$H$102:$H$105),SUM('Tab 1A - Detail'!$H$108:$H$111),SUM('Tab 1A - Detail'!$E$161:$E$180),SUM('Tab 1A - Detail'!$E$186:$E$205),SUM('Tab 1A - Detail'!$F$210:$F$229),SUM('Tab 1A - Detail'!$F$234:$F$253)&lt;&gt;0),"Answer Required","N/A")</f>
        <v>N/A</v>
      </c>
      <c r="E20" s="19" t="s">
        <v>476</v>
      </c>
      <c r="G20" s="111"/>
      <c r="H20" s="111"/>
    </row>
    <row r="21" spans="1:13" ht="84.95" customHeight="1">
      <c r="A21" s="190" t="s">
        <v>519</v>
      </c>
      <c r="B21" s="178" t="s">
        <v>1006</v>
      </c>
      <c r="C21" s="179" t="s">
        <v>168</v>
      </c>
      <c r="D21" s="358" t="str">
        <f>IF(OR(SUM('Tab 1A - Detail'!$H$102:$H$105),SUM('Tab 1A - Detail'!$H$108:$H$111),SUM('Tab 1A - Detail'!$E$161:$E$180),SUM('Tab 1A - Detail'!$E$186:$E$205),SUM('Tab 1A - Detail'!$F$210:$F$229),SUM('Tab 1A - Detail'!$F$234:$F$253)&lt;&gt;0),"Answer Required","N/A")</f>
        <v>N/A</v>
      </c>
      <c r="E21" s="19" t="s">
        <v>476</v>
      </c>
      <c r="G21" s="111"/>
      <c r="H21" s="111"/>
    </row>
    <row r="22" spans="1:13" ht="72" customHeight="1">
      <c r="A22" s="190" t="s">
        <v>520</v>
      </c>
      <c r="B22" s="178" t="s">
        <v>1007</v>
      </c>
      <c r="C22" s="171" t="s">
        <v>506</v>
      </c>
      <c r="D22" s="358" t="str">
        <f>IF(OR(SUM('Tab 1A - Detail'!$H$102:$H$105),SUM('Tab 1A - Detail'!$H$108:$H$111),SUM('Tab 1A - Detail'!$E$161:$E$180),SUM('Tab 1A - Detail'!$E$186:$E$205),SUM('Tab 1A - Detail'!$F$210:$F$229),SUM('Tab 1A - Detail'!$F$234:$F$253)&lt;&gt;0),"Answer Required","N/A")</f>
        <v>N/A</v>
      </c>
      <c r="E22" s="19" t="s">
        <v>476</v>
      </c>
      <c r="G22" s="111"/>
      <c r="H22" s="111"/>
    </row>
    <row r="23" spans="1:13" ht="44.25" customHeight="1">
      <c r="A23" s="190" t="s">
        <v>521</v>
      </c>
      <c r="B23" s="178" t="s">
        <v>1010</v>
      </c>
      <c r="C23" s="172" t="s">
        <v>1011</v>
      </c>
      <c r="D23" s="358" t="str">
        <f>IF(OR(SUM('Tab 1A - Detail'!$H$102:$H$105),SUM('Tab 1A - Detail'!$H$108:$H$111),SUM('Tab 1A - Detail'!$E$161:$E$180),SUM('Tab 1A - Detail'!$E$186:$E$205),SUM('Tab 1A - Detail'!$F$210:$F$229),SUM('Tab 1A - Detail'!$F$234:$F$253)&lt;&gt;0),"Answer Required","N/A")</f>
        <v>N/A</v>
      </c>
      <c r="E23" s="19" t="s">
        <v>949</v>
      </c>
      <c r="G23" s="111"/>
      <c r="H23" s="111"/>
    </row>
    <row r="24" spans="1:13" ht="42.75" customHeight="1">
      <c r="A24" s="190" t="s">
        <v>948</v>
      </c>
      <c r="B24" s="178" t="s">
        <v>1012</v>
      </c>
      <c r="C24" s="172" t="s">
        <v>1013</v>
      </c>
      <c r="D24" s="358" t="str">
        <f>IF(OR(SUM('Tab 1A - Detail'!$H$102:$H$105),SUM('Tab 1A - Detail'!$H$108:$H$111),SUM('Tab 1A - Detail'!$E$161:$E$180),SUM('Tab 1A - Detail'!$E$186:$E$205),SUM('Tab 1A - Detail'!$F$210:$F$229),SUM('Tab 1A - Detail'!$F$234:$F$253)&lt;&gt;0),"Answer Required","N/A")</f>
        <v>N/A</v>
      </c>
      <c r="E24" s="19" t="s">
        <v>949</v>
      </c>
      <c r="G24" s="111"/>
      <c r="H24" s="111"/>
    </row>
    <row r="25" spans="1:13" ht="60" customHeight="1">
      <c r="A25" s="190" t="s">
        <v>1008</v>
      </c>
      <c r="B25" s="178" t="s">
        <v>1016</v>
      </c>
      <c r="C25" s="172" t="s">
        <v>1017</v>
      </c>
      <c r="D25" s="358" t="str">
        <f>IF(OR(SUM('Tab 1A - Detail'!$H$102:$H$105),SUM('Tab 1A - Detail'!$H$108:$H$111),SUM('Tab 1A - Detail'!$E$161:$E$180),SUM('Tab 1A - Detail'!$E$186:$E$205),SUM('Tab 1A - Detail'!$F$210:$F$229),SUM('Tab 1A - Detail'!$F$234:$F$253)&lt;&gt;0),"Answer Required","N/A")</f>
        <v>N/A</v>
      </c>
      <c r="E25" s="19" t="s">
        <v>1014</v>
      </c>
      <c r="G25" s="111"/>
      <c r="H25" s="111"/>
    </row>
    <row r="26" spans="1:13" ht="26.25" customHeight="1">
      <c r="A26" s="190" t="s">
        <v>1009</v>
      </c>
      <c r="B26" s="178" t="s">
        <v>169</v>
      </c>
      <c r="C26" s="172" t="s">
        <v>522</v>
      </c>
      <c r="D26" s="358" t="str">
        <f>IF(OR(SUM('Tab 1A - Detail'!$H$102:$H$105),SUM('Tab 1A - Detail'!$H$108:$H$111),SUM('Tab 1A - Detail'!$E$161:$E$180),SUM('Tab 1A - Detail'!$E$186:$E$205),SUM('Tab 1A - Detail'!$F$210:$F$229),SUM('Tab 1A - Detail'!$F$234:$F$253)&lt;&gt;0),"Answer Required","N/A")</f>
        <v>N/A</v>
      </c>
      <c r="E26" s="19" t="s">
        <v>1015</v>
      </c>
      <c r="G26" s="111"/>
      <c r="H26" s="111"/>
    </row>
    <row r="28" spans="1:13">
      <c r="A28" s="19" t="s">
        <v>694</v>
      </c>
      <c r="G28" s="256"/>
      <c r="H28" s="498"/>
      <c r="I28" s="111"/>
      <c r="J28" s="111"/>
      <c r="K28" s="111"/>
      <c r="L28" s="111"/>
      <c r="M28" s="111"/>
    </row>
    <row r="29" spans="1:13">
      <c r="G29" s="111"/>
      <c r="H29" s="498"/>
      <c r="I29" s="111"/>
      <c r="J29" s="111"/>
      <c r="K29" s="111"/>
      <c r="L29" s="111"/>
      <c r="M29" s="111"/>
    </row>
    <row r="30" spans="1:13">
      <c r="A30" s="37" t="s">
        <v>1020</v>
      </c>
      <c r="G30" s="111"/>
      <c r="H30" s="498"/>
      <c r="I30" s="111"/>
      <c r="J30" s="111"/>
      <c r="K30" s="111"/>
      <c r="L30" s="111"/>
      <c r="M30" s="111"/>
    </row>
    <row r="31" spans="1:13">
      <c r="A31" s="19" t="s">
        <v>1019</v>
      </c>
      <c r="G31" s="111"/>
      <c r="H31" s="111"/>
      <c r="I31" s="111"/>
      <c r="J31" s="111"/>
      <c r="K31" s="111"/>
      <c r="L31" s="111"/>
      <c r="M31" s="111"/>
    </row>
    <row r="32" spans="1:13">
      <c r="A32" s="19" t="s">
        <v>1101</v>
      </c>
      <c r="G32" s="111"/>
      <c r="H32" s="111"/>
      <c r="I32" s="111"/>
      <c r="J32" s="111"/>
      <c r="K32" s="111"/>
      <c r="L32" s="111"/>
      <c r="M32" s="111"/>
    </row>
    <row r="33" spans="1:13">
      <c r="G33" s="111"/>
      <c r="H33" s="111"/>
      <c r="I33" s="111"/>
      <c r="J33" s="111"/>
      <c r="K33" s="111"/>
      <c r="L33" s="111"/>
      <c r="M33" s="111"/>
    </row>
    <row r="34" spans="1:13">
      <c r="A34" s="256" t="s">
        <v>959</v>
      </c>
      <c r="G34" s="111"/>
      <c r="H34" s="111"/>
      <c r="I34" s="111"/>
      <c r="J34" s="111"/>
      <c r="K34" s="111"/>
      <c r="L34" s="111"/>
      <c r="M34" s="111"/>
    </row>
    <row r="35" spans="1:13">
      <c r="A35" s="111" t="s">
        <v>144</v>
      </c>
      <c r="C35" s="18"/>
      <c r="G35" s="1295"/>
      <c r="H35" s="1295"/>
      <c r="I35" s="1295"/>
      <c r="J35" s="1295"/>
      <c r="K35" s="1295"/>
      <c r="L35" s="1295"/>
      <c r="M35" s="1295"/>
    </row>
    <row r="36" spans="1:13">
      <c r="A36" s="111" t="s">
        <v>524</v>
      </c>
      <c r="C36" s="18"/>
      <c r="G36" s="111"/>
      <c r="H36" s="111"/>
      <c r="I36" s="111"/>
      <c r="J36" s="111"/>
      <c r="K36" s="111"/>
      <c r="L36" s="111"/>
      <c r="M36" s="111"/>
    </row>
    <row r="38" spans="1:13">
      <c r="A38" s="37" t="s">
        <v>985</v>
      </c>
    </row>
    <row r="39" spans="1:13">
      <c r="A39" s="19" t="s">
        <v>1022</v>
      </c>
    </row>
    <row r="40" spans="1:13">
      <c r="A40" s="19" t="s">
        <v>1023</v>
      </c>
    </row>
    <row r="41" spans="1:13">
      <c r="A41" s="19" t="s">
        <v>960</v>
      </c>
    </row>
    <row r="42" spans="1:13">
      <c r="A42" s="19" t="s">
        <v>1024</v>
      </c>
    </row>
    <row r="43" spans="1:13">
      <c r="A43" s="19" t="s">
        <v>1102</v>
      </c>
    </row>
    <row r="44" spans="1:13">
      <c r="A44" s="19" t="s">
        <v>1110</v>
      </c>
    </row>
    <row r="46" spans="1:13">
      <c r="A46" s="19" t="s">
        <v>1103</v>
      </c>
    </row>
    <row r="48" spans="1:13">
      <c r="A48" s="19" t="s">
        <v>1025</v>
      </c>
    </row>
    <row r="49" spans="1:6">
      <c r="A49" s="19" t="s">
        <v>1018</v>
      </c>
    </row>
    <row r="50" spans="1:6">
      <c r="A50" s="19" t="s">
        <v>1273</v>
      </c>
    </row>
    <row r="52" spans="1:6">
      <c r="A52" s="19" t="s">
        <v>1276</v>
      </c>
    </row>
    <row r="53" spans="1:6">
      <c r="A53" s="19" t="s">
        <v>1277</v>
      </c>
    </row>
    <row r="54" spans="1:6">
      <c r="F54" s="23" t="s">
        <v>833</v>
      </c>
    </row>
    <row r="55" spans="1:6">
      <c r="A55" s="111" t="s">
        <v>961</v>
      </c>
      <c r="B55" s="111"/>
      <c r="C55" s="111"/>
      <c r="D55" s="111"/>
      <c r="E55" s="111"/>
      <c r="F55" s="496" t="str">
        <f>IF(D18="no","Answer Required",IF(D19="no","Answer Required",IF(D20="no","Answer Required",IF(D21="no","Answer Required",IF(D22="no","Answer Required","N/A")))))</f>
        <v>N/A</v>
      </c>
    </row>
    <row r="56" spans="1:6">
      <c r="A56" s="111" t="s">
        <v>727</v>
      </c>
      <c r="B56" s="111"/>
      <c r="C56" s="111"/>
      <c r="D56" s="111"/>
      <c r="E56" s="111"/>
    </row>
    <row r="57" spans="1:6">
      <c r="A57" s="111"/>
      <c r="B57" s="111"/>
      <c r="C57" s="111"/>
      <c r="D57" s="111"/>
      <c r="E57" s="111"/>
    </row>
    <row r="58" spans="1:6" ht="60" customHeight="1">
      <c r="A58" s="1289" t="str">
        <f>IF(F55="NO","Answer Required","N/A")</f>
        <v>N/A</v>
      </c>
      <c r="B58" s="1290"/>
      <c r="C58" s="1290"/>
      <c r="D58" s="1296"/>
    </row>
    <row r="61" spans="1:6">
      <c r="A61" s="321"/>
      <c r="B61" s="321"/>
      <c r="C61" s="321"/>
      <c r="D61" s="321"/>
      <c r="E61" s="321"/>
    </row>
    <row r="62" spans="1:6" hidden="1"/>
    <row r="63" spans="1:6" hidden="1">
      <c r="B63" s="19" t="s">
        <v>526</v>
      </c>
      <c r="C63" s="23"/>
    </row>
    <row r="64" spans="1:6" hidden="1">
      <c r="C64" s="23"/>
    </row>
    <row r="65" spans="1:11" hidden="1">
      <c r="D65" s="21" t="s">
        <v>527</v>
      </c>
    </row>
    <row r="66" spans="1:11" hidden="1">
      <c r="D66" s="21" t="s">
        <v>652</v>
      </c>
    </row>
    <row r="67" spans="1:11" hidden="1">
      <c r="D67" s="21" t="s">
        <v>231</v>
      </c>
    </row>
    <row r="68" spans="1:11" hidden="1"/>
    <row r="70" spans="1:11" hidden="1">
      <c r="A70" s="736" t="s">
        <v>1289</v>
      </c>
      <c r="B70" s="736"/>
      <c r="C70" s="736"/>
      <c r="D70" s="736"/>
      <c r="E70" s="111"/>
      <c r="F70" s="23" t="s">
        <v>833</v>
      </c>
    </row>
    <row r="71" spans="1:11" hidden="1">
      <c r="A71" s="736" t="s">
        <v>726</v>
      </c>
      <c r="B71" s="736"/>
      <c r="C71" s="736"/>
      <c r="D71" s="736"/>
      <c r="E71" s="111"/>
      <c r="F71" s="496" t="str">
        <f>IF(D38="no","Answer Required",IF(D38="no","Answer Required",IF(D39="no","Answer Required",IF(D41="no","Answer Required",IF(D42="no","Answer Required","N/A")))))</f>
        <v>N/A</v>
      </c>
    </row>
    <row r="72" spans="1:11" hidden="1">
      <c r="A72" s="111"/>
      <c r="B72" s="111"/>
      <c r="C72" s="111"/>
      <c r="D72" s="111"/>
      <c r="E72" s="111"/>
      <c r="F72" s="111"/>
    </row>
    <row r="73" spans="1:11" ht="90.75" hidden="1" customHeight="1">
      <c r="A73" s="1293" t="s">
        <v>1290</v>
      </c>
      <c r="B73" s="1294"/>
      <c r="C73" s="1294"/>
      <c r="D73" s="1294"/>
      <c r="E73" s="1294"/>
      <c r="F73" s="111"/>
      <c r="G73" s="1288"/>
      <c r="H73" s="1288"/>
      <c r="I73" s="1288"/>
      <c r="J73" s="1288"/>
      <c r="K73" s="1288"/>
    </row>
    <row r="74" spans="1:11" hidden="1">
      <c r="A74" s="1288"/>
      <c r="B74" s="1288"/>
      <c r="C74" s="1288"/>
      <c r="D74" s="1288"/>
      <c r="E74" s="1288"/>
      <c r="F74" s="111"/>
    </row>
    <row r="75" spans="1:11" hidden="1">
      <c r="A75" s="111" t="s">
        <v>86</v>
      </c>
      <c r="B75" s="111"/>
      <c r="C75" s="111"/>
      <c r="D75" s="111"/>
      <c r="E75" s="111"/>
      <c r="F75" s="111"/>
      <c r="G75" s="111"/>
    </row>
    <row r="76" spans="1:11" ht="21.75" hidden="1" customHeight="1">
      <c r="A76" s="736" t="s">
        <v>1291</v>
      </c>
      <c r="B76" s="736"/>
      <c r="C76" s="736"/>
      <c r="D76" s="736"/>
      <c r="E76" s="111"/>
      <c r="F76" s="23" t="s">
        <v>833</v>
      </c>
      <c r="G76" s="111"/>
    </row>
    <row r="77" spans="1:11" hidden="1">
      <c r="A77" s="736" t="s">
        <v>1292</v>
      </c>
      <c r="B77" s="736"/>
      <c r="C77" s="736"/>
      <c r="D77" s="736"/>
      <c r="E77" s="111"/>
      <c r="F77" s="273" t="str">
        <f>IF(F71="yes","Answer Required","N/A")</f>
        <v>N/A</v>
      </c>
      <c r="G77" s="111"/>
    </row>
    <row r="78" spans="1:11" hidden="1">
      <c r="A78" s="736" t="s">
        <v>1293</v>
      </c>
      <c r="B78" s="736"/>
      <c r="C78" s="736"/>
      <c r="D78" s="736"/>
      <c r="E78" s="111"/>
      <c r="F78" s="111"/>
      <c r="G78" s="111"/>
    </row>
    <row r="79" spans="1:11" hidden="1">
      <c r="A79" s="111"/>
      <c r="B79" s="111"/>
      <c r="C79" s="111"/>
      <c r="D79" s="111"/>
      <c r="E79" s="111"/>
      <c r="F79" s="111"/>
    </row>
    <row r="80" spans="1:11" ht="45.75" hidden="1" customHeight="1">
      <c r="A80" s="1289" t="str">
        <f>IF(F77="no","Answer Required","N/A")</f>
        <v>N/A</v>
      </c>
      <c r="B80" s="1290"/>
      <c r="C80" s="1290"/>
      <c r="D80" s="1290"/>
      <c r="E80" s="1290"/>
      <c r="F80" s="111"/>
    </row>
    <row r="81" spans="1:6">
      <c r="A81" s="111"/>
      <c r="B81" s="111"/>
      <c r="C81" s="111"/>
      <c r="D81" s="111"/>
      <c r="E81" s="111"/>
      <c r="F81" s="111"/>
    </row>
    <row r="89" spans="1:6" hidden="1">
      <c r="A89" s="19" t="s">
        <v>527</v>
      </c>
    </row>
    <row r="90" spans="1:6" hidden="1">
      <c r="A90" s="19" t="s">
        <v>652</v>
      </c>
    </row>
    <row r="91" spans="1:6" hidden="1">
      <c r="A91" s="19" t="s">
        <v>231</v>
      </c>
    </row>
  </sheetData>
  <sheetProtection algorithmName="SHA-512" hashValue="9dToQJD2D4V9TJjJ3SXtTNNHbIjGyYHHhuo7dSAmlI2GGTukjFIIU/cSdAprJFPk7jx0DEg8Ol7dYHEXTRPp3w==" saltValue="EbGUuV7kqNzEPWDqAQSKJg==" spinCount="100000" sheet="1" objects="1" scenarios="1"/>
  <customSheetViews>
    <customSheetView guid="{FBB78E72-3FBC-498A-91AC-D094BCE26D3C}" showGridLines="0" hiddenRows="1" topLeftCell="A37">
      <selection activeCell="E72" sqref="E72"/>
      <rowBreaks count="1" manualBreakCount="1">
        <brk id="45" max="7" man="1"/>
      </rowBreaks>
      <pageMargins left="0.5" right="0.5" top="0.69" bottom="0.5" header="0.33" footer="0.25"/>
      <pageSetup scale="71" orientation="portrait" cellComments="asDisplayed" r:id="rId1"/>
      <headerFooter alignWithMargins="0">
        <oddHeader xml:space="preserve">&amp;C&amp;"Times New Roman,Bold"Attachment CU4
Financial Statement Template (FST)
&amp;A&amp;"Arial,Regular"
</oddHeader>
        <oddFooter>&amp;L&amp;"Times New Roman,Regular"&amp;F \ &amp;A&amp;R&amp;"Times New Roman,Regular" Page &amp;P</oddFooter>
      </headerFooter>
    </customSheetView>
    <customSheetView guid="{A5477BC9-FA34-449D-B0C2-AF3469BA8BF0}" showGridLines="0" hiddenRows="1" topLeftCell="A37">
      <selection activeCell="D71" sqref="D71"/>
      <rowBreaks count="1" manualBreakCount="1">
        <brk id="45" max="7" man="1"/>
      </rowBreaks>
      <pageMargins left="0.5" right="0.5" top="0.69" bottom="0.5" header="0.33" footer="0.25"/>
      <pageSetup scale="71" orientation="portrait" cellComments="asDisplayed" r:id="rId2"/>
      <headerFooter alignWithMargins="0">
        <oddHeader xml:space="preserve">&amp;C&amp;"Times New Roman,Bold"Attachment CU4
Financial Statement Template (FST)
&amp;A&amp;"Arial,Regular"
</oddHeader>
        <oddFooter>&amp;L&amp;"Times New Roman,Regular"&amp;F \ &amp;A&amp;R&amp;"Times New Roman,Regular" Page &amp;P</oddFooter>
      </headerFooter>
    </customSheetView>
    <customSheetView guid="{DFFBE5FE-C073-48C5-BDD2-B0EAD8B5A8E7}" showGridLines="0" hiddenRows="1" topLeftCell="A37">
      <selection activeCell="D71" sqref="D71"/>
      <rowBreaks count="1" manualBreakCount="1">
        <brk id="45" max="7" man="1"/>
      </rowBreaks>
      <pageMargins left="0.5" right="0.5" top="0.69" bottom="0.5" header="0.33" footer="0.25"/>
      <pageSetup scale="71" orientation="portrait" cellComments="asDisplayed" r:id="rId3"/>
      <headerFooter alignWithMargins="0">
        <oddHeader xml:space="preserve">&amp;C&amp;"Times New Roman,Bold"Attachment CU4
Financial Statement Template (FST)
&amp;A&amp;"Arial,Regular"
</oddHeader>
        <oddFooter>&amp;L&amp;"Times New Roman,Regular"&amp;F \ &amp;A&amp;R&amp;"Times New Roman,Regular" Page &amp;P</oddFooter>
      </headerFooter>
    </customSheetView>
    <customSheetView guid="{9A25463D-BF6D-4A94-84A5-80E7F3451C59}" showPageBreaks="1" showGridLines="0" printArea="1" hiddenRows="1" view="pageBreakPreview">
      <rowBreaks count="1" manualBreakCount="1">
        <brk id="59" max="7" man="1"/>
      </rowBreaks>
      <pageMargins left="0.5" right="0.5" top="0.69" bottom="0.5" header="0.33" footer="0.25"/>
      <pageSetup scale="55" orientation="portrait" cellComments="asDisplayed" r:id="rId4"/>
      <headerFooter alignWithMargins="0">
        <oddHeader xml:space="preserve">&amp;C&amp;"Times New Roman,Bold"Attachment CU4
Financial Statement Template (FST)
&amp;A&amp;"Arial,Regular"
</oddHeader>
        <oddFooter>&amp;L&amp;"Times New Roman,Regular"&amp;F \ &amp;A&amp;R&amp;"Times New Roman,Regular" Page &amp;P</oddFooter>
      </headerFooter>
    </customSheetView>
    <customSheetView guid="{10B70302-090E-4CFD-BAE6-CC560B897D26}" showGridLines="0" hiddenRows="1">
      <selection activeCell="C3" sqref="C3:E3"/>
      <rowBreaks count="1" manualBreakCount="1">
        <brk id="60" max="7" man="1"/>
      </rowBreaks>
      <pageMargins left="0.5" right="0.5" top="0.69" bottom="0.5" header="0.33" footer="0.25"/>
      <pageSetup scale="56" orientation="portrait" cellComments="asDisplayed" r:id="rId5"/>
      <headerFooter alignWithMargins="0">
        <oddHeader xml:space="preserve">&amp;C&amp;"Times New Roman,Bold"Attachment CU4
Financial Statement Template (FST)
&amp;A&amp;"Arial,Regular"
</oddHeader>
        <oddFooter>&amp;L&amp;"Times New Roman,Regular"&amp;F \ &amp;A&amp;R&amp;"Times New Roman,Regular" Page &amp;P</oddFooter>
      </headerFooter>
    </customSheetView>
  </customSheetViews>
  <mergeCells count="13">
    <mergeCell ref="C1:E1"/>
    <mergeCell ref="C2:E2"/>
    <mergeCell ref="C3:E3"/>
    <mergeCell ref="C4:E4"/>
    <mergeCell ref="C5:E5"/>
    <mergeCell ref="C6:E6"/>
    <mergeCell ref="G73:K73"/>
    <mergeCell ref="A74:E74"/>
    <mergeCell ref="A80:E80"/>
    <mergeCell ref="B15:B16"/>
    <mergeCell ref="A73:E73"/>
    <mergeCell ref="G35:M35"/>
    <mergeCell ref="A58:D58"/>
  </mergeCells>
  <phoneticPr fontId="27" type="noConversion"/>
  <conditionalFormatting sqref="A58">
    <cfRule type="cellIs" dxfId="225" priority="4" operator="equal">
      <formula>"Answer Required"</formula>
    </cfRule>
  </conditionalFormatting>
  <conditionalFormatting sqref="A80">
    <cfRule type="cellIs" dxfId="224" priority="3" operator="equal">
      <formula>"Answer Required"</formula>
    </cfRule>
  </conditionalFormatting>
  <conditionalFormatting sqref="D17:D26">
    <cfRule type="cellIs" dxfId="223" priority="2" operator="equal">
      <formula>"Answer Required"</formula>
    </cfRule>
  </conditionalFormatting>
  <conditionalFormatting sqref="F55">
    <cfRule type="cellIs" dxfId="222" priority="5" operator="equal">
      <formula>"Answer Required"</formula>
    </cfRule>
  </conditionalFormatting>
  <conditionalFormatting sqref="F71">
    <cfRule type="cellIs" dxfId="221" priority="1" operator="equal">
      <formula>"Answer Required"</formula>
    </cfRule>
  </conditionalFormatting>
  <conditionalFormatting sqref="F77">
    <cfRule type="cellIs" dxfId="220" priority="6" operator="equal">
      <formula>"Answer Required"</formula>
    </cfRule>
  </conditionalFormatting>
  <dataValidations count="3">
    <dataValidation type="list" allowBlank="1" showInputMessage="1" showErrorMessage="1" error="Use the drop-down list to enter Yes, No, or N/A." sqref="F71" xr:uid="{00000000-0002-0000-0600-000000000000}">
      <formula1>$A$89:$A$111</formula1>
    </dataValidation>
    <dataValidation type="list" allowBlank="1" showInputMessage="1" showErrorMessage="1" error="Please use drop-down list to select Yes, No, or N/A" sqref="F77" xr:uid="{00000000-0002-0000-0600-000001000000}">
      <formula1>$A$89:$A$91</formula1>
    </dataValidation>
    <dataValidation type="list" allowBlank="1" showInputMessage="1" showErrorMessage="1" error="Use the drop-down list to enter Yes, No, or N/A." sqref="D17:D26 F55" xr:uid="{00000000-0002-0000-0600-000002000000}">
      <formula1>$A$89:$A$91</formula1>
    </dataValidation>
  </dataValidations>
  <pageMargins left="0.75" right="0.5" top="0.69" bottom="0.5" header="0.33" footer="0.25"/>
  <pageSetup scale="55" orientation="portrait" cellComments="asDisplayed" r:id="rId6"/>
  <headerFooter alignWithMargins="0">
    <oddHeader xml:space="preserve">&amp;C&amp;"Times New Roman,Bold"Attachment CU4
Financial Statement Template (FST)
&amp;A&amp;"Arial,Regular"
</oddHeader>
    <oddFooter>&amp;L&amp;"Times New Roman,Regular"&amp;F \ &amp;A&amp;RPage &amp;P</oddFooter>
  </headerFooter>
  <rowBreaks count="1" manualBreakCount="1">
    <brk id="60" max="7" man="1"/>
  </rowBreaks>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444"/>
  <sheetViews>
    <sheetView showGridLines="0" zoomScaleNormal="100" zoomScaleSheetLayoutView="100" workbookViewId="0">
      <selection activeCell="B3" sqref="B3:E3"/>
    </sheetView>
  </sheetViews>
  <sheetFormatPr defaultColWidth="8.85546875" defaultRowHeight="11.25"/>
  <cols>
    <col min="1" max="1" width="30.28515625" style="2" bestFit="1" customWidth="1"/>
    <col min="2" max="2" width="8.85546875" style="2" customWidth="1"/>
    <col min="3" max="3" width="21.5703125" style="2" customWidth="1"/>
    <col min="4" max="4" width="17.140625" style="2" customWidth="1"/>
    <col min="5" max="5" width="17" style="2" customWidth="1"/>
    <col min="6" max="6" width="1.7109375" style="2" customWidth="1"/>
    <col min="7" max="7" width="25.42578125" style="2" customWidth="1"/>
    <col min="8" max="8" width="8.85546875" style="2"/>
    <col min="9" max="9" width="9.42578125" style="2" customWidth="1"/>
    <col min="10" max="16384" width="8.85546875" style="2"/>
  </cols>
  <sheetData>
    <row r="1" spans="1:6" ht="12.75">
      <c r="A1" s="7" t="s">
        <v>507</v>
      </c>
      <c r="B1" s="1315" t="str">
        <f>'Component Unit Template'!G1</f>
        <v/>
      </c>
      <c r="C1" s="1316"/>
      <c r="D1" s="1316"/>
      <c r="E1" s="1317"/>
    </row>
    <row r="2" spans="1:6" ht="24.75" customHeight="1">
      <c r="A2" s="7" t="s">
        <v>528</v>
      </c>
      <c r="B2" s="1315" t="str">
        <f>IF('Component Unit Template'!G2="","",'Component Unit Template'!G2)</f>
        <v/>
      </c>
      <c r="C2" s="1316"/>
      <c r="D2" s="1316"/>
      <c r="E2" s="1317"/>
      <c r="F2" s="143"/>
    </row>
    <row r="3" spans="1:6" ht="12.75">
      <c r="A3" s="7" t="s">
        <v>586</v>
      </c>
      <c r="B3" s="1318" t="str">
        <f>IF('Component Unit Template'!G3="","",'Component Unit Template'!G3)</f>
        <v/>
      </c>
      <c r="C3" s="1319"/>
      <c r="D3" s="1319"/>
      <c r="E3" s="1320"/>
      <c r="F3" s="143"/>
    </row>
    <row r="4" spans="1:6" ht="12.75">
      <c r="A4" s="7" t="s">
        <v>315</v>
      </c>
      <c r="B4" s="1321" t="str">
        <f>IF('Component Unit Template'!G4="","",'Component Unit Template'!G4)</f>
        <v/>
      </c>
      <c r="C4" s="1322"/>
      <c r="D4" s="1322"/>
      <c r="E4" s="1323"/>
      <c r="F4" s="143"/>
    </row>
    <row r="5" spans="1:6" ht="12.75">
      <c r="A5" s="7" t="s">
        <v>677</v>
      </c>
      <c r="B5" s="1324" t="str">
        <f>IF('Component Unit Template'!G5="","",'Component Unit Template'!G5)</f>
        <v/>
      </c>
      <c r="C5" s="1325"/>
      <c r="D5" s="1325"/>
      <c r="E5" s="1326"/>
      <c r="F5" s="143"/>
    </row>
    <row r="6" spans="1:6" ht="12.75">
      <c r="A6" s="7" t="s">
        <v>36</v>
      </c>
      <c r="B6" s="1311" t="str">
        <f>IF('Component Unit Template'!G6="","",'Component Unit Template'!G6)</f>
        <v/>
      </c>
      <c r="C6" s="1312"/>
      <c r="D6" s="1312"/>
      <c r="E6" s="1313"/>
      <c r="F6" s="143"/>
    </row>
    <row r="7" spans="1:6">
      <c r="B7" s="4"/>
      <c r="C7" s="143"/>
      <c r="D7" s="143"/>
      <c r="E7" s="143"/>
      <c r="F7" s="143"/>
    </row>
    <row r="8" spans="1:6">
      <c r="B8" s="4"/>
      <c r="C8" s="143"/>
      <c r="D8" s="143"/>
      <c r="E8" s="143"/>
      <c r="F8" s="143"/>
    </row>
    <row r="9" spans="1:6" hidden="1">
      <c r="B9" s="4"/>
      <c r="C9" s="143"/>
      <c r="D9" s="143"/>
      <c r="E9" s="143"/>
      <c r="F9" s="143"/>
    </row>
    <row r="10" spans="1:6" hidden="1">
      <c r="B10" s="4"/>
      <c r="C10" s="143"/>
      <c r="D10" s="143"/>
      <c r="E10" s="143"/>
      <c r="F10" s="143"/>
    </row>
    <row r="11" spans="1:6">
      <c r="A11" s="144"/>
      <c r="B11" s="145"/>
      <c r="C11" s="146"/>
      <c r="D11" s="146"/>
      <c r="E11" s="146"/>
      <c r="F11" s="146"/>
    </row>
    <row r="12" spans="1:6">
      <c r="B12" s="4"/>
      <c r="C12" s="143"/>
      <c r="D12" s="143"/>
      <c r="E12" s="143"/>
      <c r="F12" s="143"/>
    </row>
    <row r="13" spans="1:6">
      <c r="A13" s="7" t="s">
        <v>295</v>
      </c>
    </row>
    <row r="14" spans="1:6">
      <c r="A14" s="7" t="str">
        <f>'Component Unit Template'!A35</f>
        <v>For the Year Ended June 30, 2024</v>
      </c>
    </row>
    <row r="16" spans="1:6" hidden="1"/>
    <row r="17" spans="1:7" hidden="1"/>
    <row r="18" spans="1:7" ht="45">
      <c r="D18" s="57" t="s">
        <v>1795</v>
      </c>
      <c r="E18" s="57" t="s">
        <v>1796</v>
      </c>
    </row>
    <row r="20" spans="1:7">
      <c r="A20" s="7" t="s">
        <v>150</v>
      </c>
    </row>
    <row r="21" spans="1:7" ht="12" customHeight="1">
      <c r="A21" s="2" t="s">
        <v>256</v>
      </c>
      <c r="D21" s="10"/>
      <c r="E21" s="10"/>
    </row>
    <row r="22" spans="1:7" ht="12" customHeight="1">
      <c r="A22" s="2" t="s">
        <v>1086</v>
      </c>
      <c r="D22" s="10"/>
      <c r="E22" s="10"/>
    </row>
    <row r="23" spans="1:7" ht="12" customHeight="1">
      <c r="A23" s="2" t="s">
        <v>1090</v>
      </c>
      <c r="D23" s="10"/>
      <c r="E23" s="10"/>
    </row>
    <row r="24" spans="1:7" ht="12" customHeight="1">
      <c r="A24" s="2" t="s">
        <v>151</v>
      </c>
      <c r="D24" s="10"/>
      <c r="E24" s="10"/>
    </row>
    <row r="25" spans="1:7" ht="12" customHeight="1">
      <c r="A25" s="2" t="s">
        <v>690</v>
      </c>
      <c r="D25" s="10"/>
      <c r="E25" s="10"/>
    </row>
    <row r="26" spans="1:7" ht="12" customHeight="1">
      <c r="A26" s="2" t="s">
        <v>1636</v>
      </c>
      <c r="D26" s="3"/>
      <c r="E26" s="3"/>
      <c r="G26" s="792" t="str">
        <f>'Component Unit Template'!G63:I63</f>
        <v>N/A</v>
      </c>
    </row>
    <row r="27" spans="1:7" ht="12" customHeight="1">
      <c r="A27" s="576" t="s">
        <v>1637</v>
      </c>
      <c r="D27" s="10"/>
      <c r="E27" s="10"/>
    </row>
    <row r="28" spans="1:7" ht="12">
      <c r="A28" s="923" t="str">
        <f>IF(D28&lt;&gt;0,"Answer Required","N/A")</f>
        <v>N/A</v>
      </c>
      <c r="D28" s="45"/>
      <c r="E28" s="45"/>
    </row>
    <row r="29" spans="1:7" ht="12">
      <c r="A29" s="923" t="str">
        <f>IF(D29&lt;&gt;0,"Answer Required","N/A")</f>
        <v>N/A</v>
      </c>
      <c r="D29" s="10"/>
      <c r="E29" s="10"/>
    </row>
    <row r="30" spans="1:7" ht="3.75" customHeight="1">
      <c r="D30" s="3"/>
      <c r="E30" s="3"/>
    </row>
    <row r="31" spans="1:7">
      <c r="A31" s="2" t="s">
        <v>154</v>
      </c>
      <c r="D31" s="147">
        <f>SUM(D21:D30)</f>
        <v>0</v>
      </c>
      <c r="E31" s="147">
        <f>SUM(E21:E30)</f>
        <v>0</v>
      </c>
    </row>
    <row r="34" spans="1:7" ht="21.75">
      <c r="A34" s="148" t="s">
        <v>663</v>
      </c>
      <c r="D34" s="10"/>
      <c r="E34" s="10"/>
      <c r="F34" s="462"/>
    </row>
    <row r="35" spans="1:7" hidden="1">
      <c r="A35" s="149" t="s">
        <v>256</v>
      </c>
    </row>
    <row r="36" spans="1:7" hidden="1">
      <c r="A36" s="2" t="s">
        <v>254</v>
      </c>
      <c r="D36" s="10"/>
      <c r="E36" s="10"/>
    </row>
    <row r="37" spans="1:7" hidden="1">
      <c r="A37" s="2" t="s">
        <v>151</v>
      </c>
      <c r="D37" s="10"/>
      <c r="E37" s="10"/>
    </row>
    <row r="38" spans="1:7" hidden="1">
      <c r="A38" s="2" t="s">
        <v>690</v>
      </c>
      <c r="D38" s="10"/>
      <c r="E38" s="10"/>
    </row>
    <row r="39" spans="1:7" hidden="1">
      <c r="A39" s="149" t="s">
        <v>255</v>
      </c>
      <c r="D39" s="10"/>
      <c r="E39" s="10"/>
    </row>
    <row r="40" spans="1:7" hidden="1">
      <c r="A40" s="2" t="s">
        <v>153</v>
      </c>
      <c r="D40" s="147">
        <f>SUM(D31+D34)</f>
        <v>0</v>
      </c>
      <c r="E40" s="147">
        <f>SUM(E34:E39)</f>
        <v>0</v>
      </c>
    </row>
    <row r="41" spans="1:7" hidden="1"/>
    <row r="42" spans="1:7" hidden="1"/>
    <row r="43" spans="1:7" hidden="1">
      <c r="A43" s="7" t="s">
        <v>873</v>
      </c>
      <c r="G43" s="460" t="s">
        <v>941</v>
      </c>
    </row>
    <row r="44" spans="1:7" hidden="1">
      <c r="A44" s="2" t="s">
        <v>256</v>
      </c>
      <c r="D44" s="461">
        <f>D21+D34</f>
        <v>0</v>
      </c>
      <c r="E44" s="461">
        <f>E21+E34</f>
        <v>0</v>
      </c>
      <c r="G44" s="462">
        <f>IF(C45+C73='Component Unit Template'!J78,0,"ERROR")</f>
        <v>0</v>
      </c>
    </row>
    <row r="45" spans="1:7" hidden="1">
      <c r="A45" s="2" t="s">
        <v>254</v>
      </c>
      <c r="D45" s="461">
        <f>D22+D36</f>
        <v>0</v>
      </c>
      <c r="E45" s="461">
        <f>E22+E36</f>
        <v>0</v>
      </c>
      <c r="G45" s="462">
        <f>IF(D22+D36='Component Unit Template'!K59,0,"ERROR")</f>
        <v>0</v>
      </c>
    </row>
    <row r="46" spans="1:7" hidden="1">
      <c r="A46" s="2" t="s">
        <v>151</v>
      </c>
      <c r="D46" s="461">
        <f>D24+D37</f>
        <v>0</v>
      </c>
      <c r="E46" s="461">
        <f>E24+E37</f>
        <v>0</v>
      </c>
      <c r="G46" s="462">
        <f>IF(D24+D37='Component Unit Template'!K61,0,"ERROR")</f>
        <v>0</v>
      </c>
    </row>
    <row r="47" spans="1:7" hidden="1">
      <c r="A47" s="2" t="s">
        <v>690</v>
      </c>
      <c r="D47" s="461">
        <f>D25+D38</f>
        <v>0</v>
      </c>
      <c r="E47" s="461">
        <f>E25+E38</f>
        <v>0</v>
      </c>
      <c r="G47" s="462">
        <f>IF(D25+D38='Component Unit Template'!K62,0,"ERROR")</f>
        <v>0</v>
      </c>
    </row>
    <row r="48" spans="1:7" hidden="1">
      <c r="A48" s="2" t="s">
        <v>152</v>
      </c>
      <c r="D48" s="461">
        <f>D26+D39</f>
        <v>0</v>
      </c>
      <c r="E48" s="461">
        <f t="shared" ref="E48" si="0">E26+E39</f>
        <v>0</v>
      </c>
      <c r="G48" s="462">
        <f>IF(D26+D39='Component Unit Template'!K63,0,"ERROR")</f>
        <v>0</v>
      </c>
    </row>
    <row r="49" spans="1:5" ht="12" thickBot="1">
      <c r="A49" s="7" t="s">
        <v>662</v>
      </c>
      <c r="D49" s="140">
        <f>IF(SUM(D31+D34)='Component Unit Template'!$K$64,SUM(D31+D34),"ERROR")</f>
        <v>0</v>
      </c>
      <c r="E49" s="140">
        <f>SUM(E31+E34)</f>
        <v>0</v>
      </c>
    </row>
    <row r="50" spans="1:5" ht="12" thickTop="1">
      <c r="B50" s="1314" t="s">
        <v>47</v>
      </c>
      <c r="C50" s="1314"/>
      <c r="D50" s="150">
        <f>(SUM(D31+D34)-'Component Unit Template'!K64)</f>
        <v>0</v>
      </c>
    </row>
    <row r="51" spans="1:5">
      <c r="B51" s="142"/>
      <c r="C51" s="142"/>
      <c r="D51" s="150"/>
    </row>
    <row r="52" spans="1:5">
      <c r="B52" s="142"/>
      <c r="C52" s="142"/>
      <c r="D52" s="150"/>
    </row>
    <row r="53" spans="1:5">
      <c r="B53" s="142"/>
      <c r="C53" s="142"/>
      <c r="D53" s="150"/>
    </row>
    <row r="54" spans="1:5">
      <c r="B54" s="142"/>
      <c r="C54" s="142"/>
      <c r="D54" s="150"/>
    </row>
    <row r="55" spans="1:5">
      <c r="A55" s="7" t="s">
        <v>1805</v>
      </c>
    </row>
    <row r="56" spans="1:5" ht="45">
      <c r="D56" s="1027" t="str">
        <f>D18</f>
        <v>Total Receivables 
as of 
June 30, 2024</v>
      </c>
      <c r="E56" s="1027" t="str">
        <f>E18</f>
        <v>Portion of Total Receivables to be Collected After 
June 30, 2025</v>
      </c>
    </row>
    <row r="57" spans="1:5">
      <c r="A57" s="7" t="s">
        <v>150</v>
      </c>
    </row>
    <row r="58" spans="1:5">
      <c r="A58" s="2" t="s">
        <v>1797</v>
      </c>
      <c r="D58" s="10"/>
      <c r="E58" s="10"/>
    </row>
    <row r="59" spans="1:5">
      <c r="A59" s="2" t="s">
        <v>1798</v>
      </c>
      <c r="D59" s="10"/>
      <c r="E59" s="10"/>
    </row>
    <row r="60" spans="1:5">
      <c r="A60" s="2" t="s">
        <v>1806</v>
      </c>
      <c r="D60" s="10"/>
      <c r="E60" s="10"/>
    </row>
    <row r="61" spans="1:5">
      <c r="A61" s="2" t="s">
        <v>1799</v>
      </c>
      <c r="D61" s="10"/>
      <c r="E61" s="10"/>
    </row>
    <row r="62" spans="1:5">
      <c r="A62" s="2" t="s">
        <v>1800</v>
      </c>
      <c r="D62" s="45"/>
      <c r="E62" s="45"/>
    </row>
    <row r="63" spans="1:5">
      <c r="A63" s="2" t="s">
        <v>1801</v>
      </c>
      <c r="D63" s="10"/>
      <c r="E63" s="10"/>
    </row>
    <row r="64" spans="1:5" ht="12" customHeight="1">
      <c r="A64" s="576" t="s">
        <v>1637</v>
      </c>
      <c r="D64" s="101"/>
      <c r="E64" s="101"/>
    </row>
    <row r="65" spans="1:6" ht="12">
      <c r="A65" s="923" t="str">
        <f>IF(D65&lt;&gt;0,"Answer Required","N/A")</f>
        <v>N/A</v>
      </c>
      <c r="D65" s="45"/>
      <c r="E65" s="45"/>
    </row>
    <row r="66" spans="1:6" ht="12">
      <c r="A66" s="923" t="str">
        <f>IF(D66&lt;&gt;0,"Answer Required","N/A")</f>
        <v>N/A</v>
      </c>
      <c r="D66" s="10"/>
      <c r="E66" s="10"/>
    </row>
    <row r="67" spans="1:6">
      <c r="A67" s="2" t="s">
        <v>1802</v>
      </c>
      <c r="D67" s="147">
        <f>SUM(D58:D66)</f>
        <v>0</v>
      </c>
      <c r="E67" s="147">
        <f>SUM(E58:E66)</f>
        <v>0</v>
      </c>
    </row>
    <row r="69" spans="1:6" ht="22.5">
      <c r="A69" s="1028" t="s">
        <v>1803</v>
      </c>
      <c r="D69" s="801"/>
      <c r="E69" s="801"/>
    </row>
    <row r="70" spans="1:6" ht="12" thickBot="1">
      <c r="A70" s="7" t="s">
        <v>1804</v>
      </c>
      <c r="D70" s="140">
        <f>IF((D67+D69)='Component Unit Template'!$K$112,D67+D69,"ERROR")</f>
        <v>0</v>
      </c>
      <c r="E70" s="140">
        <f>E67+E69</f>
        <v>0</v>
      </c>
      <c r="F70" s="462"/>
    </row>
    <row r="71" spans="1:6" ht="12" thickTop="1">
      <c r="B71" s="1314" t="s">
        <v>47</v>
      </c>
      <c r="C71" s="1314"/>
      <c r="D71" s="150">
        <f>(SUM(D67+D69)-'[2]Component Unit Template'!K97)</f>
        <v>0</v>
      </c>
    </row>
    <row r="72" spans="1:6">
      <c r="B72" s="142"/>
      <c r="C72" s="142"/>
      <c r="D72" s="150"/>
    </row>
    <row r="73" spans="1:6" hidden="1">
      <c r="A73" s="7" t="s">
        <v>296</v>
      </c>
    </row>
    <row r="74" spans="1:6" hidden="1">
      <c r="A74" s="7" t="s">
        <v>297</v>
      </c>
    </row>
    <row r="75" spans="1:6" hidden="1">
      <c r="A75" s="473"/>
      <c r="D75" s="10"/>
      <c r="E75" s="10"/>
    </row>
    <row r="76" spans="1:6" hidden="1">
      <c r="A76" s="258"/>
      <c r="D76" s="10"/>
      <c r="E76" s="10"/>
    </row>
    <row r="77" spans="1:6" hidden="1">
      <c r="A77" s="258"/>
      <c r="D77" s="10"/>
      <c r="E77" s="10"/>
    </row>
    <row r="78" spans="1:6" hidden="1">
      <c r="A78" s="258"/>
      <c r="D78" s="10"/>
      <c r="E78" s="10"/>
    </row>
    <row r="79" spans="1:6" hidden="1">
      <c r="A79" s="258"/>
      <c r="D79" s="10"/>
      <c r="E79" s="10"/>
    </row>
    <row r="80" spans="1:6" ht="12" hidden="1" thickBot="1">
      <c r="D80" s="140">
        <f>IF(SUM(D75:D79)='Component Unit Template'!K66,SUM(D75:D79),"ERROR")</f>
        <v>0</v>
      </c>
      <c r="E80" s="140">
        <f>SUM(E75:E79)</f>
        <v>0</v>
      </c>
    </row>
    <row r="81" spans="1:10" ht="12" hidden="1" thickTop="1">
      <c r="B81" s="1314" t="s">
        <v>47</v>
      </c>
      <c r="C81" s="1314"/>
      <c r="D81" s="150">
        <f>(SUM(D75:D79))-'Component Unit Template'!K66</f>
        <v>0</v>
      </c>
    </row>
    <row r="82" spans="1:10" hidden="1"/>
    <row r="83" spans="1:10" hidden="1"/>
    <row r="84" spans="1:10" hidden="1"/>
    <row r="85" spans="1:10" hidden="1"/>
    <row r="86" spans="1:10" hidden="1"/>
    <row r="94" spans="1:10">
      <c r="A94" s="7" t="s">
        <v>1807</v>
      </c>
    </row>
    <row r="95" spans="1:10" ht="12.75">
      <c r="J95"/>
    </row>
    <row r="96" spans="1:10">
      <c r="A96" s="7" t="s">
        <v>1613</v>
      </c>
    </row>
    <row r="97" spans="1:7" ht="45" customHeight="1">
      <c r="A97" s="334" t="s">
        <v>1057</v>
      </c>
      <c r="B97" s="1308" t="s">
        <v>300</v>
      </c>
      <c r="C97" s="1309"/>
      <c r="D97" s="1309"/>
      <c r="E97" s="1309"/>
      <c r="F97" s="1310"/>
      <c r="G97" s="334" t="s">
        <v>205</v>
      </c>
    </row>
    <row r="98" spans="1:7">
      <c r="A98" s="335"/>
      <c r="B98" s="1305"/>
      <c r="C98" s="1306"/>
      <c r="D98" s="1306"/>
      <c r="E98" s="1306"/>
      <c r="F98" s="1307"/>
      <c r="G98" s="336"/>
    </row>
    <row r="99" spans="1:7">
      <c r="A99" s="335"/>
      <c r="B99" s="1305"/>
      <c r="C99" s="1306"/>
      <c r="D99" s="1306"/>
      <c r="E99" s="1306"/>
      <c r="F99" s="1307"/>
      <c r="G99" s="336"/>
    </row>
    <row r="100" spans="1:7">
      <c r="A100" s="335"/>
      <c r="B100" s="1305"/>
      <c r="C100" s="1306"/>
      <c r="D100" s="1306"/>
      <c r="E100" s="1306"/>
      <c r="F100" s="1307"/>
      <c r="G100" s="336"/>
    </row>
    <row r="101" spans="1:7">
      <c r="A101" s="335"/>
      <c r="B101" s="1305"/>
      <c r="C101" s="1306"/>
      <c r="D101" s="1306"/>
      <c r="E101" s="1306"/>
      <c r="F101" s="1307"/>
      <c r="G101" s="336"/>
    </row>
    <row r="102" spans="1:7">
      <c r="A102" s="335"/>
      <c r="B102" s="1305"/>
      <c r="C102" s="1306"/>
      <c r="D102" s="1306"/>
      <c r="E102" s="1306"/>
      <c r="F102" s="1307"/>
      <c r="G102" s="336"/>
    </row>
    <row r="103" spans="1:7">
      <c r="A103" s="335"/>
      <c r="B103" s="1305"/>
      <c r="C103" s="1306"/>
      <c r="D103" s="1306"/>
      <c r="E103" s="1306"/>
      <c r="F103" s="1307"/>
      <c r="G103" s="336"/>
    </row>
    <row r="104" spans="1:7">
      <c r="A104" s="335"/>
      <c r="B104" s="1305"/>
      <c r="C104" s="1306"/>
      <c r="D104" s="1306"/>
      <c r="E104" s="1306"/>
      <c r="F104" s="1307"/>
      <c r="G104" s="336"/>
    </row>
    <row r="105" spans="1:7">
      <c r="A105" s="335"/>
      <c r="B105" s="1305"/>
      <c r="C105" s="1306"/>
      <c r="D105" s="1306"/>
      <c r="E105" s="1306"/>
      <c r="F105" s="1307"/>
      <c r="G105" s="336"/>
    </row>
    <row r="106" spans="1:7">
      <c r="A106" s="337"/>
      <c r="B106" s="149"/>
      <c r="C106" s="338"/>
      <c r="D106" s="338"/>
      <c r="E106" s="338"/>
      <c r="F106" s="338"/>
      <c r="G106" s="149"/>
    </row>
    <row r="107" spans="1:7" ht="12" thickBot="1">
      <c r="A107" s="337"/>
      <c r="B107" s="339" t="s">
        <v>298</v>
      </c>
      <c r="C107" s="338"/>
      <c r="D107" s="338"/>
      <c r="E107" s="338"/>
      <c r="F107" s="338"/>
      <c r="G107" s="340">
        <f>IF(SUM(G98:G105)='Component Unit Template'!K68,SUM(G98:G105),"ERROR")</f>
        <v>0</v>
      </c>
    </row>
    <row r="108" spans="1:7" ht="12" thickTop="1">
      <c r="F108" s="142" t="s">
        <v>47</v>
      </c>
      <c r="G108" s="141">
        <f>SUM(G98:G105)-'Component Unit Template'!K68</f>
        <v>0</v>
      </c>
    </row>
    <row r="109" spans="1:7">
      <c r="A109" s="7" t="s">
        <v>1614</v>
      </c>
    </row>
    <row r="110" spans="1:7" ht="45" customHeight="1">
      <c r="A110" s="334" t="s">
        <v>1058</v>
      </c>
      <c r="B110" s="1308" t="s">
        <v>301</v>
      </c>
      <c r="C110" s="1309"/>
      <c r="D110" s="1309"/>
      <c r="E110" s="1309"/>
      <c r="F110" s="1310"/>
      <c r="G110" s="334" t="s">
        <v>205</v>
      </c>
    </row>
    <row r="111" spans="1:7">
      <c r="A111" s="335"/>
      <c r="B111" s="1305"/>
      <c r="C111" s="1306"/>
      <c r="D111" s="1306"/>
      <c r="E111" s="1306"/>
      <c r="F111" s="1307"/>
      <c r="G111" s="336"/>
    </row>
    <row r="112" spans="1:7">
      <c r="A112" s="335"/>
      <c r="B112" s="1305"/>
      <c r="C112" s="1306"/>
      <c r="D112" s="1306"/>
      <c r="E112" s="1306"/>
      <c r="F112" s="1307"/>
      <c r="G112" s="336"/>
    </row>
    <row r="113" spans="1:7">
      <c r="A113" s="335"/>
      <c r="B113" s="1305"/>
      <c r="C113" s="1306"/>
      <c r="D113" s="1306"/>
      <c r="E113" s="1306"/>
      <c r="F113" s="1307"/>
      <c r="G113" s="336"/>
    </row>
    <row r="114" spans="1:7">
      <c r="A114" s="335"/>
      <c r="B114" s="1305"/>
      <c r="C114" s="1306"/>
      <c r="D114" s="1306"/>
      <c r="E114" s="1306"/>
      <c r="F114" s="1307"/>
      <c r="G114" s="336"/>
    </row>
    <row r="115" spans="1:7">
      <c r="A115" s="335"/>
      <c r="B115" s="1305"/>
      <c r="C115" s="1306"/>
      <c r="D115" s="1306"/>
      <c r="E115" s="1306"/>
      <c r="F115" s="1307"/>
      <c r="G115" s="336"/>
    </row>
    <row r="116" spans="1:7">
      <c r="A116" s="335"/>
      <c r="B116" s="1305"/>
      <c r="C116" s="1306"/>
      <c r="D116" s="1306"/>
      <c r="E116" s="1306"/>
      <c r="F116" s="1307"/>
      <c r="G116" s="336"/>
    </row>
    <row r="117" spans="1:7">
      <c r="A117" s="335"/>
      <c r="B117" s="1305"/>
      <c r="C117" s="1306"/>
      <c r="D117" s="1306"/>
      <c r="E117" s="1306"/>
      <c r="F117" s="1307"/>
      <c r="G117" s="336"/>
    </row>
    <row r="118" spans="1:7">
      <c r="A118" s="335"/>
      <c r="B118" s="1305"/>
      <c r="C118" s="1306"/>
      <c r="D118" s="1306"/>
      <c r="E118" s="1306"/>
      <c r="F118" s="1307"/>
      <c r="G118" s="336"/>
    </row>
    <row r="119" spans="1:7">
      <c r="A119" s="337"/>
      <c r="B119" s="149"/>
      <c r="C119" s="338"/>
      <c r="D119" s="338"/>
      <c r="E119" s="338"/>
      <c r="F119" s="338"/>
      <c r="G119" s="149"/>
    </row>
    <row r="120" spans="1:7" ht="12" thickBot="1">
      <c r="A120" s="337"/>
      <c r="B120" s="339" t="s">
        <v>299</v>
      </c>
      <c r="C120" s="338"/>
      <c r="D120" s="338"/>
      <c r="E120" s="338"/>
      <c r="F120" s="338"/>
      <c r="G120" s="340">
        <f>IF(SUM(G111:G118)='Component Unit Template'!K141,SUM(G111:G118),"ERROR")</f>
        <v>0</v>
      </c>
    </row>
    <row r="121" spans="1:7" ht="12" thickTop="1">
      <c r="F121" s="142" t="s">
        <v>47</v>
      </c>
      <c r="G121" s="141">
        <f>SUM(G111:G118)-'Component Unit Template'!K141</f>
        <v>0</v>
      </c>
    </row>
    <row r="122" spans="1:7">
      <c r="A122" s="7" t="s">
        <v>1615</v>
      </c>
    </row>
    <row r="123" spans="1:7" ht="55.5" customHeight="1">
      <c r="A123" s="334" t="s">
        <v>302</v>
      </c>
      <c r="B123" s="1308" t="s">
        <v>300</v>
      </c>
      <c r="C123" s="1309"/>
      <c r="D123" s="1309"/>
      <c r="E123" s="1309"/>
      <c r="F123" s="1310"/>
      <c r="G123" s="334" t="s">
        <v>205</v>
      </c>
    </row>
    <row r="124" spans="1:7">
      <c r="A124" s="335"/>
      <c r="B124" s="1305"/>
      <c r="C124" s="1306"/>
      <c r="D124" s="1306"/>
      <c r="E124" s="1306"/>
      <c r="F124" s="1307"/>
      <c r="G124" s="336"/>
    </row>
    <row r="125" spans="1:7">
      <c r="A125" s="335"/>
      <c r="B125" s="1305"/>
      <c r="C125" s="1306"/>
      <c r="D125" s="1306"/>
      <c r="E125" s="1306"/>
      <c r="F125" s="1307"/>
      <c r="G125" s="336"/>
    </row>
    <row r="126" spans="1:7">
      <c r="A126" s="335"/>
      <c r="B126" s="1305"/>
      <c r="C126" s="1306"/>
      <c r="D126" s="1306"/>
      <c r="E126" s="1306"/>
      <c r="F126" s="1307"/>
      <c r="G126" s="336"/>
    </row>
    <row r="127" spans="1:7">
      <c r="A127" s="335"/>
      <c r="B127" s="1305"/>
      <c r="C127" s="1306"/>
      <c r="D127" s="1306"/>
      <c r="E127" s="1306"/>
      <c r="F127" s="1307"/>
      <c r="G127" s="336"/>
    </row>
    <row r="128" spans="1:7">
      <c r="A128" s="335"/>
      <c r="B128" s="1305"/>
      <c r="C128" s="1306"/>
      <c r="D128" s="1306"/>
      <c r="E128" s="1306"/>
      <c r="F128" s="1307"/>
      <c r="G128" s="336"/>
    </row>
    <row r="129" spans="1:7">
      <c r="A129" s="335"/>
      <c r="B129" s="1305"/>
      <c r="C129" s="1306"/>
      <c r="D129" s="1306"/>
      <c r="E129" s="1306"/>
      <c r="F129" s="1307"/>
      <c r="G129" s="336"/>
    </row>
    <row r="130" spans="1:7">
      <c r="A130" s="335"/>
      <c r="B130" s="1305"/>
      <c r="C130" s="1306"/>
      <c r="D130" s="1306"/>
      <c r="E130" s="1306"/>
      <c r="F130" s="1307"/>
      <c r="G130" s="336"/>
    </row>
    <row r="131" spans="1:7">
      <c r="A131" s="335"/>
      <c r="B131" s="1305"/>
      <c r="C131" s="1306"/>
      <c r="D131" s="1306"/>
      <c r="E131" s="1306"/>
      <c r="F131" s="1307"/>
      <c r="G131" s="336"/>
    </row>
    <row r="132" spans="1:7">
      <c r="A132" s="337"/>
      <c r="B132" s="149"/>
      <c r="C132" s="338"/>
      <c r="D132" s="338"/>
      <c r="E132" s="338"/>
      <c r="F132" s="338"/>
      <c r="G132" s="149"/>
    </row>
    <row r="133" spans="1:7" ht="12" thickBot="1">
      <c r="A133" s="337"/>
      <c r="B133" s="339" t="s">
        <v>303</v>
      </c>
      <c r="C133" s="338"/>
      <c r="D133" s="338"/>
      <c r="E133" s="338"/>
      <c r="F133" s="338"/>
      <c r="G133" s="340">
        <f>IF(SUM(G124:G131)='Component Unit Template'!K70,SUM(G124:G131),"ERROR")</f>
        <v>0</v>
      </c>
    </row>
    <row r="134" spans="1:7" ht="12" thickTop="1">
      <c r="F134" s="142" t="s">
        <v>47</v>
      </c>
      <c r="G134" s="141">
        <f>SUM(G124:G131)-'Component Unit Template'!K70</f>
        <v>0</v>
      </c>
    </row>
    <row r="135" spans="1:7">
      <c r="A135" s="7" t="s">
        <v>1616</v>
      </c>
    </row>
    <row r="136" spans="1:7" ht="56.25" customHeight="1">
      <c r="A136" s="334" t="s">
        <v>304</v>
      </c>
      <c r="B136" s="1308" t="s">
        <v>301</v>
      </c>
      <c r="C136" s="1309"/>
      <c r="D136" s="1309"/>
      <c r="E136" s="1309"/>
      <c r="F136" s="1310"/>
      <c r="G136" s="334" t="s">
        <v>205</v>
      </c>
    </row>
    <row r="137" spans="1:7">
      <c r="A137" s="335"/>
      <c r="B137" s="1305"/>
      <c r="C137" s="1306"/>
      <c r="D137" s="1306"/>
      <c r="E137" s="1306"/>
      <c r="F137" s="1307"/>
      <c r="G137" s="336"/>
    </row>
    <row r="138" spans="1:7">
      <c r="A138" s="335"/>
      <c r="B138" s="1305"/>
      <c r="C138" s="1306"/>
      <c r="D138" s="1306"/>
      <c r="E138" s="1306"/>
      <c r="F138" s="1307"/>
      <c r="G138" s="336"/>
    </row>
    <row r="139" spans="1:7">
      <c r="A139" s="335"/>
      <c r="B139" s="1305"/>
      <c r="C139" s="1306"/>
      <c r="D139" s="1306"/>
      <c r="E139" s="1306"/>
      <c r="F139" s="1307"/>
      <c r="G139" s="336"/>
    </row>
    <row r="140" spans="1:7">
      <c r="A140" s="335"/>
      <c r="B140" s="1305"/>
      <c r="C140" s="1306"/>
      <c r="D140" s="1306"/>
      <c r="E140" s="1306"/>
      <c r="F140" s="1307"/>
      <c r="G140" s="336"/>
    </row>
    <row r="141" spans="1:7">
      <c r="A141" s="335"/>
      <c r="B141" s="1305"/>
      <c r="C141" s="1306"/>
      <c r="D141" s="1306"/>
      <c r="E141" s="1306"/>
      <c r="F141" s="1307"/>
      <c r="G141" s="336"/>
    </row>
    <row r="142" spans="1:7">
      <c r="A142" s="335"/>
      <c r="B142" s="1305"/>
      <c r="C142" s="1306"/>
      <c r="D142" s="1306"/>
      <c r="E142" s="1306"/>
      <c r="F142" s="1307"/>
      <c r="G142" s="336"/>
    </row>
    <row r="143" spans="1:7">
      <c r="A143" s="335"/>
      <c r="B143" s="1305"/>
      <c r="C143" s="1306"/>
      <c r="D143" s="1306"/>
      <c r="E143" s="1306"/>
      <c r="F143" s="1307"/>
      <c r="G143" s="336"/>
    </row>
    <row r="144" spans="1:7">
      <c r="A144" s="335"/>
      <c r="B144" s="1305"/>
      <c r="C144" s="1306"/>
      <c r="D144" s="1306"/>
      <c r="E144" s="1306"/>
      <c r="F144" s="1307"/>
      <c r="G144" s="336"/>
    </row>
    <row r="145" spans="1:7">
      <c r="A145" s="337"/>
      <c r="B145" s="149"/>
      <c r="C145" s="338"/>
      <c r="D145" s="338"/>
      <c r="E145" s="338"/>
      <c r="F145" s="338"/>
      <c r="G145" s="149"/>
    </row>
    <row r="146" spans="1:7" ht="12" thickBot="1">
      <c r="A146" s="337"/>
      <c r="B146" s="339" t="s">
        <v>305</v>
      </c>
      <c r="C146" s="338"/>
      <c r="D146" s="338"/>
      <c r="E146" s="338"/>
      <c r="F146" s="338"/>
      <c r="G146" s="340">
        <f>IF(SUM(G137:G144)='Component Unit Template'!K140,SUM(G137:G144),"ERROR")</f>
        <v>0</v>
      </c>
    </row>
    <row r="147" spans="1:7" ht="12" thickTop="1">
      <c r="F147" s="142" t="s">
        <v>47</v>
      </c>
      <c r="G147" s="141">
        <f>SUM(G137:G144)-'Component Unit Template'!K140</f>
        <v>0</v>
      </c>
    </row>
    <row r="148" spans="1:7">
      <c r="A148" s="7" t="s">
        <v>1617</v>
      </c>
    </row>
    <row r="149" spans="1:7" ht="56.25" customHeight="1">
      <c r="A149" s="334" t="s">
        <v>979</v>
      </c>
      <c r="B149" s="1308" t="s">
        <v>301</v>
      </c>
      <c r="C149" s="1309"/>
      <c r="D149" s="1309"/>
      <c r="E149" s="1309"/>
      <c r="F149" s="1310"/>
      <c r="G149" s="334" t="s">
        <v>205</v>
      </c>
    </row>
    <row r="150" spans="1:7">
      <c r="A150" s="576" t="s">
        <v>1059</v>
      </c>
      <c r="B150" s="1305"/>
      <c r="C150" s="1306"/>
      <c r="D150" s="1306"/>
      <c r="E150" s="1306"/>
      <c r="F150" s="1307"/>
      <c r="G150" s="336"/>
    </row>
    <row r="151" spans="1:7">
      <c r="A151" s="576" t="s">
        <v>1059</v>
      </c>
      <c r="B151" s="1305"/>
      <c r="C151" s="1306"/>
      <c r="D151" s="1306"/>
      <c r="E151" s="1306"/>
      <c r="F151" s="1307"/>
      <c r="G151" s="336"/>
    </row>
    <row r="152" spans="1:7">
      <c r="A152" s="576" t="s">
        <v>1059</v>
      </c>
      <c r="B152" s="1305"/>
      <c r="C152" s="1306"/>
      <c r="D152" s="1306"/>
      <c r="E152" s="1306"/>
      <c r="F152" s="1307"/>
      <c r="G152" s="336"/>
    </row>
    <row r="153" spans="1:7">
      <c r="A153" s="576" t="s">
        <v>1059</v>
      </c>
      <c r="B153" s="1305"/>
      <c r="C153" s="1306"/>
      <c r="D153" s="1306"/>
      <c r="E153" s="1306"/>
      <c r="F153" s="1307"/>
      <c r="G153" s="336"/>
    </row>
    <row r="154" spans="1:7">
      <c r="A154" s="576" t="s">
        <v>1059</v>
      </c>
      <c r="B154" s="1305"/>
      <c r="C154" s="1306"/>
      <c r="D154" s="1306"/>
      <c r="E154" s="1306"/>
      <c r="F154" s="1307"/>
      <c r="G154" s="336"/>
    </row>
    <row r="155" spans="1:7">
      <c r="A155" s="576" t="s">
        <v>1059</v>
      </c>
      <c r="B155" s="1305"/>
      <c r="C155" s="1306"/>
      <c r="D155" s="1306"/>
      <c r="E155" s="1306"/>
      <c r="F155" s="1307"/>
      <c r="G155" s="336"/>
    </row>
    <row r="156" spans="1:7">
      <c r="A156" s="576" t="s">
        <v>1059</v>
      </c>
      <c r="B156" s="1305"/>
      <c r="C156" s="1306"/>
      <c r="D156" s="1306"/>
      <c r="E156" s="1306"/>
      <c r="F156" s="1307"/>
      <c r="G156" s="336"/>
    </row>
    <row r="157" spans="1:7">
      <c r="A157" s="576" t="s">
        <v>1059</v>
      </c>
      <c r="B157" s="1305"/>
      <c r="C157" s="1306"/>
      <c r="D157" s="1306"/>
      <c r="E157" s="1306"/>
      <c r="F157" s="1307"/>
      <c r="G157" s="336"/>
    </row>
    <row r="158" spans="1:7">
      <c r="A158" s="337"/>
      <c r="B158" s="149"/>
      <c r="C158" s="338"/>
      <c r="D158" s="338"/>
      <c r="E158" s="338"/>
      <c r="F158" s="338"/>
      <c r="G158" s="149"/>
    </row>
    <row r="159" spans="1:7" ht="12" thickBot="1">
      <c r="A159" s="337"/>
      <c r="B159" s="339" t="s">
        <v>939</v>
      </c>
      <c r="C159" s="338"/>
      <c r="D159" s="338"/>
      <c r="E159" s="338"/>
      <c r="F159" s="338"/>
      <c r="G159" s="340">
        <f>IF(SUM(G150:G157)='Component Unit Template'!K142,SUM(G150:G157),"ERROR")</f>
        <v>0</v>
      </c>
    </row>
    <row r="160" spans="1:7" ht="12" thickTop="1">
      <c r="F160" s="142" t="s">
        <v>47</v>
      </c>
      <c r="G160" s="141">
        <f>SUM(G150:G157)-'Component Unit Template'!K142</f>
        <v>0</v>
      </c>
    </row>
    <row r="168" spans="1:7" ht="89.25" hidden="1" customHeight="1">
      <c r="A168" s="929" t="s">
        <v>1640</v>
      </c>
      <c r="D168" s="929" t="s">
        <v>1641</v>
      </c>
      <c r="E168" s="929" t="s">
        <v>1642</v>
      </c>
    </row>
    <row r="169" spans="1:7" ht="12.75" hidden="1">
      <c r="A169" s="2" t="s">
        <v>1171</v>
      </c>
      <c r="B169"/>
      <c r="C169" s="138"/>
      <c r="D169" s="2" t="s">
        <v>394</v>
      </c>
      <c r="G169" s="138"/>
    </row>
    <row r="170" spans="1:7" ht="12.75" hidden="1">
      <c r="A170" s="2" t="s">
        <v>355</v>
      </c>
      <c r="B170"/>
      <c r="C170" s="138"/>
      <c r="D170" s="2" t="s">
        <v>1130</v>
      </c>
      <c r="G170" s="138"/>
    </row>
    <row r="171" spans="1:7" ht="12.75" hidden="1">
      <c r="A171" s="2" t="s">
        <v>344</v>
      </c>
      <c r="B171"/>
      <c r="C171" s="138"/>
      <c r="D171" s="2" t="s">
        <v>1810</v>
      </c>
      <c r="G171" s="138"/>
    </row>
    <row r="172" spans="1:7" ht="12.75" hidden="1">
      <c r="A172" s="2" t="s">
        <v>1652</v>
      </c>
      <c r="B172"/>
      <c r="C172" s="138"/>
      <c r="D172" s="2" t="s">
        <v>1131</v>
      </c>
      <c r="G172" s="138"/>
    </row>
    <row r="173" spans="1:7" ht="12.75" hidden="1">
      <c r="A173" s="2" t="s">
        <v>1172</v>
      </c>
      <c r="B173"/>
      <c r="C173" s="138"/>
      <c r="D173" s="2" t="s">
        <v>389</v>
      </c>
      <c r="G173" s="138"/>
    </row>
    <row r="174" spans="1:7" ht="12.75" hidden="1">
      <c r="A174" s="2" t="s">
        <v>345</v>
      </c>
      <c r="B174"/>
      <c r="C174" s="138"/>
      <c r="D174" s="2" t="s">
        <v>1410</v>
      </c>
      <c r="G174" s="138"/>
    </row>
    <row r="175" spans="1:7" ht="12.75" hidden="1">
      <c r="A175" s="2" t="s">
        <v>1173</v>
      </c>
      <c r="B175"/>
      <c r="C175" s="138"/>
      <c r="D175" s="2" t="s">
        <v>420</v>
      </c>
      <c r="G175" s="138"/>
    </row>
    <row r="176" spans="1:7" ht="12.75" hidden="1">
      <c r="A176" s="2" t="s">
        <v>331</v>
      </c>
      <c r="B176"/>
      <c r="C176" s="138"/>
      <c r="D176" s="2" t="s">
        <v>0</v>
      </c>
      <c r="G176" s="138"/>
    </row>
    <row r="177" spans="1:7" ht="12.75" hidden="1">
      <c r="A177" s="2" t="s">
        <v>1653</v>
      </c>
      <c r="B177"/>
      <c r="C177" s="138"/>
      <c r="D177" s="2" t="s">
        <v>1649</v>
      </c>
      <c r="G177" s="138"/>
    </row>
    <row r="178" spans="1:7" ht="12.75" hidden="1">
      <c r="A178" s="2" t="s">
        <v>338</v>
      </c>
      <c r="B178"/>
      <c r="C178" s="138"/>
      <c r="D178" s="2" t="s">
        <v>19</v>
      </c>
      <c r="G178" s="138"/>
    </row>
    <row r="179" spans="1:7" ht="12.75" hidden="1">
      <c r="A179" s="2" t="s">
        <v>356</v>
      </c>
      <c r="B179"/>
      <c r="C179" s="138"/>
      <c r="D179" s="2" t="s">
        <v>1132</v>
      </c>
      <c r="G179" s="138"/>
    </row>
    <row r="180" spans="1:7" ht="12.75" hidden="1">
      <c r="A180" s="2" t="s">
        <v>341</v>
      </c>
      <c r="B180"/>
      <c r="C180" s="138"/>
      <c r="D180" s="2" t="s">
        <v>23</v>
      </c>
      <c r="G180" s="138"/>
    </row>
    <row r="181" spans="1:7" ht="12.75" hidden="1">
      <c r="A181" s="2" t="s">
        <v>357</v>
      </c>
      <c r="B181"/>
      <c r="C181" s="138"/>
      <c r="D181" s="2" t="s">
        <v>1133</v>
      </c>
      <c r="G181" s="138"/>
    </row>
    <row r="182" spans="1:7" ht="12.75" hidden="1">
      <c r="A182" s="2" t="s">
        <v>333</v>
      </c>
      <c r="B182"/>
      <c r="C182" s="138"/>
      <c r="D182" s="2" t="s">
        <v>378</v>
      </c>
      <c r="G182" s="138"/>
    </row>
    <row r="183" spans="1:7" ht="12.75" hidden="1">
      <c r="A183" s="2" t="s">
        <v>349</v>
      </c>
      <c r="B183"/>
      <c r="C183" s="138"/>
      <c r="D183" s="2" t="s">
        <v>1134</v>
      </c>
      <c r="G183" s="138"/>
    </row>
    <row r="184" spans="1:7" ht="12.75" hidden="1">
      <c r="A184" s="2" t="s">
        <v>358</v>
      </c>
      <c r="B184"/>
      <c r="C184" s="138"/>
      <c r="D184" s="2" t="s">
        <v>380</v>
      </c>
      <c r="G184" s="138"/>
    </row>
    <row r="185" spans="1:7" ht="12.75" hidden="1">
      <c r="A185" s="2" t="s">
        <v>1443</v>
      </c>
      <c r="B185"/>
      <c r="C185" s="138"/>
      <c r="D185" s="2" t="s">
        <v>1361</v>
      </c>
      <c r="G185" s="138"/>
    </row>
    <row r="186" spans="1:7" ht="12.75" hidden="1">
      <c r="A186" s="2" t="s">
        <v>1654</v>
      </c>
      <c r="B186"/>
      <c r="C186" s="138"/>
      <c r="D186" s="2" t="s">
        <v>994</v>
      </c>
      <c r="G186" s="138"/>
    </row>
    <row r="187" spans="1:7" ht="12.75" hidden="1">
      <c r="A187" s="2" t="s">
        <v>1655</v>
      </c>
      <c r="B187"/>
      <c r="C187" s="138"/>
      <c r="D187" s="2" t="s">
        <v>1362</v>
      </c>
      <c r="G187" s="138"/>
    </row>
    <row r="188" spans="1:7" ht="12.75" hidden="1">
      <c r="A188" s="2" t="s">
        <v>327</v>
      </c>
      <c r="B188"/>
      <c r="C188" s="138"/>
      <c r="D188" s="2" t="s">
        <v>1643</v>
      </c>
      <c r="G188" s="138"/>
    </row>
    <row r="189" spans="1:7" ht="22.5" hidden="1">
      <c r="A189" s="181" t="s">
        <v>1174</v>
      </c>
      <c r="B189"/>
      <c r="C189" s="138"/>
      <c r="D189" s="2" t="s">
        <v>1135</v>
      </c>
      <c r="G189" s="138"/>
    </row>
    <row r="190" spans="1:7" ht="12.75" hidden="1">
      <c r="A190" s="2" t="s">
        <v>1656</v>
      </c>
      <c r="B190"/>
      <c r="C190" s="138"/>
      <c r="D190" s="2" t="s">
        <v>400</v>
      </c>
      <c r="G190" s="138"/>
    </row>
    <row r="191" spans="1:7" ht="12.75" hidden="1">
      <c r="A191" s="2" t="s">
        <v>359</v>
      </c>
      <c r="B191"/>
      <c r="C191" s="138"/>
      <c r="D191" s="2" t="s">
        <v>386</v>
      </c>
      <c r="G191" s="138"/>
    </row>
    <row r="192" spans="1:7" ht="12.75" hidden="1">
      <c r="A192" s="2" t="s">
        <v>325</v>
      </c>
      <c r="B192"/>
      <c r="C192" s="138"/>
      <c r="D192" s="2" t="s">
        <v>1811</v>
      </c>
      <c r="G192" s="138"/>
    </row>
    <row r="193" spans="1:7" ht="12.75" hidden="1">
      <c r="A193" s="2" t="s">
        <v>350</v>
      </c>
      <c r="B193"/>
      <c r="C193" s="138"/>
      <c r="D193" s="2" t="s">
        <v>1136</v>
      </c>
      <c r="G193" s="138"/>
    </row>
    <row r="194" spans="1:7" ht="12.75" hidden="1">
      <c r="B194"/>
      <c r="C194" s="138"/>
      <c r="D194" s="2" t="s">
        <v>1137</v>
      </c>
      <c r="G194" s="138"/>
    </row>
    <row r="195" spans="1:7" ht="12.75" hidden="1">
      <c r="A195" s="2" t="s">
        <v>1657</v>
      </c>
      <c r="B195"/>
      <c r="C195" s="138"/>
      <c r="D195" s="2" t="s">
        <v>1138</v>
      </c>
      <c r="G195" s="138"/>
    </row>
    <row r="196" spans="1:7" ht="12.75" hidden="1">
      <c r="A196" s="2" t="s">
        <v>352</v>
      </c>
      <c r="B196"/>
      <c r="C196" s="138"/>
      <c r="D196" s="2" t="s">
        <v>395</v>
      </c>
      <c r="G196" s="138"/>
    </row>
    <row r="197" spans="1:7" ht="12.75" hidden="1">
      <c r="A197" s="2" t="s">
        <v>335</v>
      </c>
      <c r="B197"/>
      <c r="C197" s="138"/>
      <c r="D197" s="2" t="s">
        <v>404</v>
      </c>
      <c r="G197" s="138"/>
    </row>
    <row r="198" spans="1:7" ht="12.75" hidden="1">
      <c r="A198" s="2" t="s">
        <v>324</v>
      </c>
      <c r="B198"/>
      <c r="C198" s="138"/>
      <c r="D198" s="2" t="s">
        <v>1139</v>
      </c>
      <c r="G198" s="138"/>
    </row>
    <row r="199" spans="1:7" ht="12.75" hidden="1">
      <c r="A199" s="2" t="s">
        <v>339</v>
      </c>
      <c r="B199"/>
      <c r="C199" s="138"/>
      <c r="D199" s="2" t="s">
        <v>22</v>
      </c>
      <c r="G199" s="138"/>
    </row>
    <row r="200" spans="1:7" ht="12.75" hidden="1">
      <c r="A200" s="2" t="s">
        <v>329</v>
      </c>
      <c r="B200"/>
      <c r="C200" s="138"/>
      <c r="D200" s="2" t="s">
        <v>1647</v>
      </c>
      <c r="G200" s="138"/>
    </row>
    <row r="201" spans="1:7" ht="12.75" hidden="1">
      <c r="A201" s="2" t="s">
        <v>1658</v>
      </c>
      <c r="B201"/>
      <c r="C201" s="138"/>
      <c r="D201" s="2" t="s">
        <v>1140</v>
      </c>
      <c r="G201" s="138"/>
    </row>
    <row r="202" spans="1:7" ht="12.75" hidden="1">
      <c r="A202" s="2" t="s">
        <v>1190</v>
      </c>
      <c r="B202"/>
      <c r="C202" s="138"/>
      <c r="D202" s="2" t="s">
        <v>1141</v>
      </c>
      <c r="G202" s="138"/>
    </row>
    <row r="203" spans="1:7" ht="12.75" hidden="1">
      <c r="A203" s="2" t="s">
        <v>340</v>
      </c>
      <c r="B203"/>
      <c r="C203" s="138"/>
      <c r="D203" s="2" t="s">
        <v>391</v>
      </c>
      <c r="G203" s="138"/>
    </row>
    <row r="204" spans="1:7" ht="12.75" hidden="1">
      <c r="A204" s="2" t="s">
        <v>328</v>
      </c>
      <c r="B204"/>
      <c r="C204" s="138"/>
      <c r="D204" s="2" t="s">
        <v>1142</v>
      </c>
      <c r="G204" s="138"/>
    </row>
    <row r="205" spans="1:7" ht="12.75" hidden="1">
      <c r="A205" s="2" t="s">
        <v>337</v>
      </c>
      <c r="B205"/>
      <c r="C205" s="138"/>
      <c r="D205" s="2" t="s">
        <v>1143</v>
      </c>
      <c r="G205" s="138"/>
    </row>
    <row r="206" spans="1:7" ht="12.75" hidden="1">
      <c r="A206" s="2" t="s">
        <v>330</v>
      </c>
      <c r="B206"/>
      <c r="C206" s="138"/>
      <c r="D206" s="2" t="s">
        <v>986</v>
      </c>
      <c r="G206" s="138"/>
    </row>
    <row r="207" spans="1:7" ht="12.75" hidden="1">
      <c r="A207" s="2" t="s">
        <v>351</v>
      </c>
      <c r="B207"/>
      <c r="C207" s="138"/>
      <c r="D207" s="2" t="s">
        <v>387</v>
      </c>
      <c r="G207" s="138"/>
    </row>
    <row r="208" spans="1:7" ht="12.75" hidden="1">
      <c r="A208" s="2" t="s">
        <v>1175</v>
      </c>
      <c r="B208"/>
      <c r="C208" s="138"/>
      <c r="D208" s="2" t="s">
        <v>1409</v>
      </c>
      <c r="G208" s="138"/>
    </row>
    <row r="209" spans="1:7" ht="12.75" hidden="1">
      <c r="A209" s="2" t="s">
        <v>1191</v>
      </c>
      <c r="B209"/>
      <c r="C209" s="138"/>
      <c r="D209" s="2" t="s">
        <v>10</v>
      </c>
      <c r="G209" s="138"/>
    </row>
    <row r="210" spans="1:7" ht="12.75" hidden="1">
      <c r="A210" s="2" t="s">
        <v>336</v>
      </c>
      <c r="B210"/>
      <c r="C210" s="138"/>
      <c r="D210" s="2" t="s">
        <v>29</v>
      </c>
      <c r="G210" s="138"/>
    </row>
    <row r="211" spans="1:7" ht="12.75" hidden="1">
      <c r="A211" s="2" t="s">
        <v>346</v>
      </c>
      <c r="B211"/>
      <c r="C211" s="138"/>
      <c r="D211" s="2" t="s">
        <v>18</v>
      </c>
      <c r="G211" s="138"/>
    </row>
    <row r="212" spans="1:7" ht="12.75" hidden="1">
      <c r="A212" s="2" t="s">
        <v>1659</v>
      </c>
      <c r="B212"/>
      <c r="C212" s="138"/>
      <c r="D212" s="2" t="s">
        <v>6</v>
      </c>
      <c r="G212" s="138"/>
    </row>
    <row r="213" spans="1:7" ht="12.75" hidden="1">
      <c r="A213" s="2" t="s">
        <v>1185</v>
      </c>
      <c r="B213"/>
      <c r="C213" s="138"/>
      <c r="D213" s="2" t="s">
        <v>417</v>
      </c>
      <c r="G213" s="138"/>
    </row>
    <row r="214" spans="1:7" ht="12.75" hidden="1">
      <c r="A214" s="2" t="s">
        <v>1183</v>
      </c>
      <c r="B214"/>
      <c r="C214" s="138"/>
      <c r="D214" s="2" t="s">
        <v>14</v>
      </c>
      <c r="G214" s="138"/>
    </row>
    <row r="215" spans="1:7" ht="12.75" hidden="1">
      <c r="A215" s="2" t="s">
        <v>347</v>
      </c>
      <c r="B215"/>
      <c r="C215" s="138"/>
      <c r="D215" s="2" t="s">
        <v>419</v>
      </c>
      <c r="G215" s="138"/>
    </row>
    <row r="216" spans="1:7" ht="12.75" hidden="1">
      <c r="A216" s="2" t="s">
        <v>989</v>
      </c>
      <c r="B216"/>
      <c r="C216" s="138"/>
      <c r="D216" s="2" t="s">
        <v>8</v>
      </c>
      <c r="G216" s="138"/>
    </row>
    <row r="217" spans="1:7" ht="12.75" hidden="1">
      <c r="A217" s="2" t="s">
        <v>1176</v>
      </c>
      <c r="B217"/>
      <c r="C217" s="138"/>
      <c r="D217" s="2" t="s">
        <v>1144</v>
      </c>
      <c r="G217" s="138"/>
    </row>
    <row r="218" spans="1:7" ht="12.75" hidden="1">
      <c r="A218" s="2" t="s">
        <v>1444</v>
      </c>
      <c r="B218"/>
      <c r="C218" s="138"/>
      <c r="D218" s="2" t="s">
        <v>388</v>
      </c>
      <c r="G218" s="138"/>
    </row>
    <row r="219" spans="1:7" ht="12.75" hidden="1">
      <c r="A219" s="2" t="s">
        <v>326</v>
      </c>
      <c r="B219"/>
      <c r="C219" s="138"/>
      <c r="D219" s="2" t="s">
        <v>17</v>
      </c>
      <c r="G219" s="138"/>
    </row>
    <row r="220" spans="1:7" ht="12.75" hidden="1">
      <c r="A220" s="2" t="s">
        <v>1184</v>
      </c>
      <c r="B220"/>
      <c r="C220" s="138"/>
      <c r="D220" s="2" t="s">
        <v>409</v>
      </c>
      <c r="G220" s="138"/>
    </row>
    <row r="221" spans="1:7" ht="12.75" hidden="1">
      <c r="A221" s="2" t="s">
        <v>321</v>
      </c>
      <c r="B221"/>
      <c r="C221" s="138"/>
      <c r="D221" s="2" t="s">
        <v>1145</v>
      </c>
      <c r="G221" s="138"/>
    </row>
    <row r="222" spans="1:7" ht="12.75" hidden="1">
      <c r="A222" s="2" t="s">
        <v>332</v>
      </c>
      <c r="B222"/>
      <c r="C222" s="138"/>
      <c r="D222" s="2" t="s">
        <v>385</v>
      </c>
      <c r="G222" s="138"/>
    </row>
    <row r="223" spans="1:7" ht="12.75" hidden="1">
      <c r="A223" s="2" t="s">
        <v>1177</v>
      </c>
      <c r="B223"/>
      <c r="C223" s="138"/>
      <c r="D223" s="2" t="s">
        <v>397</v>
      </c>
      <c r="G223" s="138"/>
    </row>
    <row r="224" spans="1:7" ht="12.75" hidden="1">
      <c r="A224" s="2" t="s">
        <v>1178</v>
      </c>
      <c r="B224"/>
      <c r="C224" s="138"/>
      <c r="D224" s="2" t="s">
        <v>13</v>
      </c>
      <c r="G224" s="138"/>
    </row>
    <row r="225" spans="1:7" ht="12.75" hidden="1">
      <c r="A225" s="2" t="s">
        <v>1179</v>
      </c>
      <c r="B225"/>
      <c r="C225" s="138"/>
      <c r="D225" s="2" t="s">
        <v>384</v>
      </c>
      <c r="G225" s="138"/>
    </row>
    <row r="226" spans="1:7" ht="12.75" hidden="1">
      <c r="A226" s="2" t="s">
        <v>1445</v>
      </c>
      <c r="B226"/>
      <c r="C226" s="138"/>
      <c r="D226" s="2" t="s">
        <v>1146</v>
      </c>
      <c r="G226" s="138"/>
    </row>
    <row r="227" spans="1:7" ht="12.75" hidden="1">
      <c r="A227" s="2" t="s">
        <v>353</v>
      </c>
      <c r="B227"/>
      <c r="C227" s="138"/>
      <c r="D227" s="2" t="s">
        <v>1147</v>
      </c>
      <c r="G227" s="138"/>
    </row>
    <row r="228" spans="1:7" ht="12.75" hidden="1">
      <c r="A228" s="2" t="s">
        <v>360</v>
      </c>
      <c r="B228"/>
      <c r="C228" s="138"/>
      <c r="D228" s="2" t="s">
        <v>1148</v>
      </c>
      <c r="G228" s="138"/>
    </row>
    <row r="229" spans="1:7" ht="12.75" hidden="1">
      <c r="A229" s="2" t="s">
        <v>1660</v>
      </c>
      <c r="B229"/>
      <c r="C229" s="138"/>
      <c r="D229" s="2" t="s">
        <v>16</v>
      </c>
      <c r="G229" s="138"/>
    </row>
    <row r="230" spans="1:7" ht="12.75" hidden="1">
      <c r="A230" s="2" t="s">
        <v>1187</v>
      </c>
      <c r="B230"/>
      <c r="C230" s="138"/>
      <c r="D230" s="2" t="s">
        <v>399</v>
      </c>
      <c r="G230" s="138"/>
    </row>
    <row r="231" spans="1:7" ht="12.75" hidden="1">
      <c r="A231" s="2" t="s">
        <v>334</v>
      </c>
      <c r="B231"/>
      <c r="C231" s="138"/>
      <c r="D231" s="2" t="s">
        <v>403</v>
      </c>
      <c r="G231" s="138"/>
    </row>
    <row r="232" spans="1:7" ht="12.75" hidden="1">
      <c r="A232" s="2" t="s">
        <v>1188</v>
      </c>
      <c r="B232"/>
      <c r="C232" s="138"/>
      <c r="D232" s="2" t="s">
        <v>396</v>
      </c>
      <c r="G232" s="138"/>
    </row>
    <row r="233" spans="1:7" ht="12.75" hidden="1">
      <c r="A233" s="2" t="s">
        <v>1189</v>
      </c>
      <c r="B233"/>
      <c r="C233" s="138"/>
      <c r="D233" s="2" t="s">
        <v>11</v>
      </c>
      <c r="G233" s="138"/>
    </row>
    <row r="234" spans="1:7" ht="12.75" hidden="1">
      <c r="A234" s="2" t="s">
        <v>1186</v>
      </c>
      <c r="B234"/>
      <c r="C234" s="138"/>
      <c r="D234" s="2" t="s">
        <v>1646</v>
      </c>
      <c r="G234" s="138"/>
    </row>
    <row r="235" spans="1:7" ht="12.75" hidden="1">
      <c r="A235" s="2" t="s">
        <v>361</v>
      </c>
      <c r="B235"/>
      <c r="C235" s="138"/>
      <c r="D235" s="2" t="s">
        <v>1651</v>
      </c>
      <c r="G235" s="138"/>
    </row>
    <row r="236" spans="1:7" ht="12.75" hidden="1">
      <c r="A236" s="2" t="s">
        <v>829</v>
      </c>
      <c r="B236"/>
      <c r="C236" s="138"/>
      <c r="D236" s="2" t="s">
        <v>1650</v>
      </c>
      <c r="G236" s="138"/>
    </row>
    <row r="237" spans="1:7" ht="12.75" hidden="1">
      <c r="A237" s="2" t="s">
        <v>828</v>
      </c>
      <c r="B237"/>
      <c r="C237" s="138"/>
      <c r="D237" s="2" t="s">
        <v>26</v>
      </c>
      <c r="G237" s="138"/>
    </row>
    <row r="238" spans="1:7" ht="12.75" hidden="1">
      <c r="A238" s="2" t="s">
        <v>348</v>
      </c>
      <c r="B238"/>
      <c r="C238" s="138"/>
      <c r="D238" s="2" t="s">
        <v>1360</v>
      </c>
      <c r="G238" s="138"/>
    </row>
    <row r="239" spans="1:7" ht="12.75" hidden="1">
      <c r="A239" s="2" t="s">
        <v>362</v>
      </c>
      <c r="B239"/>
      <c r="C239" s="138"/>
      <c r="D239" s="2" t="s">
        <v>1809</v>
      </c>
      <c r="G239" s="138"/>
    </row>
    <row r="240" spans="1:7" ht="12.75" hidden="1">
      <c r="A240" s="2" t="s">
        <v>1365</v>
      </c>
      <c r="B240"/>
      <c r="C240" s="138"/>
      <c r="D240" s="2" t="s">
        <v>30</v>
      </c>
      <c r="G240" s="138"/>
    </row>
    <row r="241" spans="1:7" ht="12.75" hidden="1">
      <c r="A241" s="2" t="s">
        <v>1661</v>
      </c>
      <c r="B241"/>
      <c r="C241" s="138"/>
      <c r="D241" s="2" t="s">
        <v>1149</v>
      </c>
      <c r="G241" s="138"/>
    </row>
    <row r="242" spans="1:7" ht="12.75" hidden="1">
      <c r="A242" s="2" t="s">
        <v>363</v>
      </c>
      <c r="B242"/>
      <c r="C242" s="138"/>
      <c r="D242" s="2" t="s">
        <v>1150</v>
      </c>
      <c r="G242" s="138"/>
    </row>
    <row r="243" spans="1:7" ht="12.75" hidden="1">
      <c r="A243" s="2" t="s">
        <v>322</v>
      </c>
      <c r="B243"/>
      <c r="C243" s="138"/>
      <c r="D243" s="2" t="s">
        <v>374</v>
      </c>
      <c r="G243" s="138"/>
    </row>
    <row r="244" spans="1:7" ht="12.75" hidden="1">
      <c r="A244" s="2" t="s">
        <v>364</v>
      </c>
      <c r="B244"/>
      <c r="C244" s="138"/>
      <c r="D244" s="2" t="s">
        <v>1151</v>
      </c>
      <c r="G244" s="138"/>
    </row>
    <row r="245" spans="1:7" ht="12.75" hidden="1">
      <c r="A245" s="2" t="s">
        <v>1180</v>
      </c>
      <c r="B245"/>
      <c r="C245" s="138"/>
      <c r="D245" s="2" t="s">
        <v>1152</v>
      </c>
      <c r="G245" s="138"/>
    </row>
    <row r="246" spans="1:7" ht="12.75" hidden="1">
      <c r="A246" s="2" t="s">
        <v>365</v>
      </c>
      <c r="B246"/>
      <c r="C246" s="138"/>
      <c r="D246" s="2" t="s">
        <v>2</v>
      </c>
      <c r="G246" s="138"/>
    </row>
    <row r="247" spans="1:7" ht="12.75" hidden="1">
      <c r="A247" s="2" t="s">
        <v>366</v>
      </c>
      <c r="B247"/>
      <c r="C247" s="138"/>
      <c r="D247" s="2" t="s">
        <v>379</v>
      </c>
      <c r="G247" s="138"/>
    </row>
    <row r="248" spans="1:7" ht="12.75" hidden="1">
      <c r="A248" s="2" t="s">
        <v>1375</v>
      </c>
      <c r="B248"/>
      <c r="C248" s="138"/>
      <c r="D248" s="2" t="s">
        <v>7</v>
      </c>
      <c r="G248" s="138"/>
    </row>
    <row r="249" spans="1:7" ht="12.75" hidden="1">
      <c r="A249" s="2" t="s">
        <v>1662</v>
      </c>
      <c r="B249"/>
      <c r="C249" s="138"/>
      <c r="D249" s="2" t="s">
        <v>372</v>
      </c>
      <c r="G249" s="138"/>
    </row>
    <row r="250" spans="1:7" ht="12.75" hidden="1">
      <c r="A250" s="2" t="s">
        <v>1663</v>
      </c>
      <c r="B250"/>
      <c r="C250" s="138"/>
      <c r="D250" s="2" t="s">
        <v>25</v>
      </c>
      <c r="G250" s="138"/>
    </row>
    <row r="251" spans="1:7" ht="12.75" hidden="1">
      <c r="A251" s="2" t="s">
        <v>367</v>
      </c>
      <c r="B251"/>
      <c r="C251" s="138"/>
      <c r="D251" s="2" t="s">
        <v>27</v>
      </c>
      <c r="G251" s="138"/>
    </row>
    <row r="252" spans="1:7" ht="12.75" hidden="1">
      <c r="A252" s="2" t="s">
        <v>1446</v>
      </c>
      <c r="B252"/>
      <c r="C252" s="138"/>
      <c r="D252" s="2" t="s">
        <v>1153</v>
      </c>
      <c r="G252" s="138"/>
    </row>
    <row r="253" spans="1:7" ht="12.75" hidden="1">
      <c r="A253" s="2" t="s">
        <v>1450</v>
      </c>
      <c r="B253"/>
      <c r="C253" s="138"/>
      <c r="D253" s="2" t="s">
        <v>9</v>
      </c>
      <c r="G253" s="138"/>
    </row>
    <row r="254" spans="1:7" ht="12.75" hidden="1">
      <c r="A254" s="2" t="s">
        <v>1181</v>
      </c>
      <c r="B254"/>
      <c r="C254" s="138"/>
      <c r="D254" s="2" t="s">
        <v>24</v>
      </c>
      <c r="G254" s="138"/>
    </row>
    <row r="255" spans="1:7" ht="12.75" hidden="1">
      <c r="A255" s="2" t="s">
        <v>368</v>
      </c>
      <c r="B255"/>
      <c r="C255" s="138"/>
      <c r="D255" s="2" t="s">
        <v>1154</v>
      </c>
      <c r="G255" s="138"/>
    </row>
    <row r="256" spans="1:7" ht="12.75" hidden="1">
      <c r="A256" s="2" t="s">
        <v>369</v>
      </c>
      <c r="B256"/>
      <c r="C256" s="138"/>
      <c r="D256" s="2" t="s">
        <v>1155</v>
      </c>
      <c r="G256" s="138"/>
    </row>
    <row r="257" spans="1:7" ht="12.75" hidden="1">
      <c r="A257" s="2" t="s">
        <v>370</v>
      </c>
      <c r="B257"/>
      <c r="C257" s="138"/>
      <c r="D257" s="2" t="s">
        <v>1412</v>
      </c>
      <c r="G257" s="138"/>
    </row>
    <row r="258" spans="1:7" ht="12.75" hidden="1">
      <c r="A258" s="2" t="s">
        <v>1182</v>
      </c>
      <c r="B258"/>
      <c r="C258" s="138"/>
      <c r="D258" s="2" t="s">
        <v>377</v>
      </c>
      <c r="G258" s="138"/>
    </row>
    <row r="259" spans="1:7" ht="12.75" hidden="1">
      <c r="A259" s="2" t="s">
        <v>323</v>
      </c>
      <c r="B259"/>
      <c r="C259" s="138"/>
      <c r="D259" s="2" t="s">
        <v>1407</v>
      </c>
      <c r="G259" s="138"/>
    </row>
    <row r="260" spans="1:7" ht="12.75" hidden="1">
      <c r="A260" s="2" t="s">
        <v>371</v>
      </c>
      <c r="B260"/>
      <c r="C260" s="138"/>
      <c r="D260" s="2" t="s">
        <v>382</v>
      </c>
      <c r="G260" s="138"/>
    </row>
    <row r="261" spans="1:7" ht="12.75" hidden="1">
      <c r="A261" s="2" t="s">
        <v>342</v>
      </c>
      <c r="B261"/>
      <c r="C261" s="138"/>
      <c r="D261" s="2" t="s">
        <v>373</v>
      </c>
      <c r="G261" s="138"/>
    </row>
    <row r="262" spans="1:7" ht="12.75" hidden="1">
      <c r="A262" s="2" t="s">
        <v>343</v>
      </c>
      <c r="B262"/>
      <c r="C262" s="138"/>
      <c r="D262" s="2" t="s">
        <v>1363</v>
      </c>
      <c r="G262" s="138"/>
    </row>
    <row r="263" spans="1:7" ht="12.75" hidden="1">
      <c r="B263"/>
      <c r="C263" s="138"/>
      <c r="D263" s="2" t="s">
        <v>4</v>
      </c>
      <c r="G263" s="138"/>
    </row>
    <row r="264" spans="1:7" ht="12.75" hidden="1">
      <c r="D264" s="2" t="s">
        <v>12</v>
      </c>
      <c r="G264" s="138"/>
    </row>
    <row r="265" spans="1:7" ht="12.75" hidden="1">
      <c r="D265" s="2" t="s">
        <v>1808</v>
      </c>
      <c r="G265" s="138"/>
    </row>
    <row r="266" spans="1:7" ht="12.75" hidden="1">
      <c r="D266" s="2" t="s">
        <v>383</v>
      </c>
      <c r="G266" s="138"/>
    </row>
    <row r="267" spans="1:7" ht="12.75" hidden="1">
      <c r="D267" s="2" t="s">
        <v>826</v>
      </c>
      <c r="G267" s="138"/>
    </row>
    <row r="268" spans="1:7" ht="12.75" hidden="1">
      <c r="D268" s="2" t="s">
        <v>1156</v>
      </c>
      <c r="G268" s="138"/>
    </row>
    <row r="269" spans="1:7" ht="12.75" hidden="1">
      <c r="D269" s="2" t="s">
        <v>1648</v>
      </c>
      <c r="G269" s="138"/>
    </row>
    <row r="270" spans="1:7" ht="12.75" hidden="1">
      <c r="D270" s="2" t="s">
        <v>1411</v>
      </c>
      <c r="G270" s="138"/>
    </row>
    <row r="271" spans="1:7" ht="12.75" hidden="1">
      <c r="D271" s="2" t="s">
        <v>408</v>
      </c>
      <c r="G271" s="138"/>
    </row>
    <row r="272" spans="1:7" ht="12.75" hidden="1">
      <c r="D272" s="2" t="s">
        <v>416</v>
      </c>
      <c r="G272" s="138"/>
    </row>
    <row r="273" spans="4:7" ht="12.75" hidden="1">
      <c r="D273" s="2" t="s">
        <v>415</v>
      </c>
      <c r="G273" s="138"/>
    </row>
    <row r="274" spans="4:7" ht="12.75" hidden="1">
      <c r="D274" s="2" t="s">
        <v>411</v>
      </c>
      <c r="G274" s="138"/>
    </row>
    <row r="275" spans="4:7" ht="12.75" hidden="1">
      <c r="D275" s="2" t="s">
        <v>414</v>
      </c>
      <c r="G275" s="138"/>
    </row>
    <row r="276" spans="4:7" ht="12.75" hidden="1">
      <c r="D276" s="2" t="s">
        <v>413</v>
      </c>
      <c r="G276" s="138"/>
    </row>
    <row r="277" spans="4:7" ht="12.75" hidden="1">
      <c r="D277" s="2" t="s">
        <v>1408</v>
      </c>
      <c r="G277" s="138"/>
    </row>
    <row r="278" spans="4:7" ht="12.75" hidden="1">
      <c r="D278" s="2" t="s">
        <v>1644</v>
      </c>
      <c r="G278" s="138"/>
    </row>
    <row r="279" spans="4:7" ht="12.75" hidden="1">
      <c r="D279" s="2" t="s">
        <v>1645</v>
      </c>
      <c r="G279" s="138"/>
    </row>
    <row r="280" spans="4:7" ht="12.75" hidden="1">
      <c r="D280" s="2" t="s">
        <v>405</v>
      </c>
      <c r="G280" s="138"/>
    </row>
    <row r="281" spans="4:7" ht="12.75" hidden="1">
      <c r="D281" s="2" t="s">
        <v>412</v>
      </c>
      <c r="G281" s="138"/>
    </row>
    <row r="282" spans="4:7" ht="12.75" hidden="1">
      <c r="D282" s="2" t="s">
        <v>827</v>
      </c>
      <c r="G282" s="138"/>
    </row>
    <row r="283" spans="4:7" ht="12.75" hidden="1">
      <c r="D283" s="2" t="s">
        <v>1157</v>
      </c>
      <c r="G283" s="138"/>
    </row>
    <row r="284" spans="4:7" ht="12.75" hidden="1">
      <c r="D284" s="2" t="s">
        <v>1158</v>
      </c>
      <c r="G284" s="138"/>
    </row>
    <row r="285" spans="4:7" ht="12.75" hidden="1">
      <c r="D285" s="2" t="s">
        <v>406</v>
      </c>
      <c r="G285" s="138"/>
    </row>
    <row r="286" spans="4:7" ht="12.75" hidden="1">
      <c r="D286" s="2" t="s">
        <v>1159</v>
      </c>
      <c r="G286" s="138"/>
    </row>
    <row r="287" spans="4:7" ht="12.75" hidden="1">
      <c r="D287" s="2" t="s">
        <v>376</v>
      </c>
      <c r="G287" s="138"/>
    </row>
    <row r="288" spans="4:7" ht="12.75" hidden="1">
      <c r="D288" s="2" t="s">
        <v>418</v>
      </c>
      <c r="G288" s="138"/>
    </row>
    <row r="289" spans="4:7" ht="12.75" hidden="1">
      <c r="D289" s="2" t="s">
        <v>392</v>
      </c>
      <c r="G289" s="138"/>
    </row>
    <row r="290" spans="4:7" ht="12.75" hidden="1">
      <c r="D290" s="2" t="s">
        <v>398</v>
      </c>
      <c r="G290" s="138"/>
    </row>
    <row r="291" spans="4:7" ht="12.75" hidden="1">
      <c r="D291" s="2" t="s">
        <v>1160</v>
      </c>
      <c r="G291" s="138"/>
    </row>
    <row r="292" spans="4:7" ht="12.75" hidden="1">
      <c r="D292" s="2" t="s">
        <v>1161</v>
      </c>
      <c r="G292" s="138"/>
    </row>
    <row r="293" spans="4:7" ht="12.75" hidden="1">
      <c r="D293" s="2" t="s">
        <v>1406</v>
      </c>
      <c r="G293" s="138"/>
    </row>
    <row r="294" spans="4:7" ht="12.75" hidden="1">
      <c r="D294" s="2" t="s">
        <v>375</v>
      </c>
      <c r="G294" s="138"/>
    </row>
    <row r="295" spans="4:7" ht="12.75" hidden="1">
      <c r="D295" s="2" t="s">
        <v>407</v>
      </c>
      <c r="G295" s="138"/>
    </row>
    <row r="296" spans="4:7" ht="12.75" hidden="1">
      <c r="D296" s="2" t="s">
        <v>393</v>
      </c>
      <c r="G296" s="138"/>
    </row>
    <row r="297" spans="4:7" ht="12.75" hidden="1">
      <c r="D297" s="2" t="s">
        <v>1162</v>
      </c>
      <c r="G297" s="138"/>
    </row>
    <row r="298" spans="4:7" ht="12.75" hidden="1">
      <c r="D298" s="2" t="s">
        <v>20</v>
      </c>
      <c r="G298" s="138"/>
    </row>
    <row r="299" spans="4:7" ht="12.75" hidden="1">
      <c r="D299" s="2" t="s">
        <v>1163</v>
      </c>
      <c r="G299" s="138"/>
    </row>
    <row r="300" spans="4:7" ht="12.75" hidden="1">
      <c r="D300" s="2" t="s">
        <v>15</v>
      </c>
      <c r="G300" s="138"/>
    </row>
    <row r="301" spans="4:7" ht="12.75" hidden="1">
      <c r="D301" s="2" t="s">
        <v>402</v>
      </c>
      <c r="G301" s="138"/>
    </row>
    <row r="302" spans="4:7" ht="12.75" hidden="1">
      <c r="D302" s="2" t="s">
        <v>410</v>
      </c>
      <c r="G302" s="138"/>
    </row>
    <row r="303" spans="4:7" ht="12.75" hidden="1">
      <c r="D303" s="2" t="s">
        <v>1164</v>
      </c>
      <c r="G303" s="138"/>
    </row>
    <row r="304" spans="4:7" ht="12.75" hidden="1">
      <c r="D304" s="2" t="s">
        <v>21</v>
      </c>
      <c r="G304" s="138"/>
    </row>
    <row r="305" spans="4:7" ht="12.75" hidden="1">
      <c r="D305" s="2" t="s">
        <v>390</v>
      </c>
      <c r="G305" s="138"/>
    </row>
    <row r="306" spans="4:7" ht="12.75" hidden="1">
      <c r="D306" s="2" t="s">
        <v>987</v>
      </c>
      <c r="G306" s="138"/>
    </row>
    <row r="307" spans="4:7" ht="12.75" hidden="1">
      <c r="D307" s="2" t="s">
        <v>1165</v>
      </c>
      <c r="G307" s="138"/>
    </row>
    <row r="308" spans="4:7" ht="12.75" hidden="1">
      <c r="D308" s="2" t="s">
        <v>1</v>
      </c>
      <c r="G308" s="138"/>
    </row>
    <row r="309" spans="4:7" ht="12.75" hidden="1">
      <c r="D309" s="2" t="s">
        <v>28</v>
      </c>
      <c r="G309" s="138"/>
    </row>
    <row r="310" spans="4:7" ht="12.75" hidden="1">
      <c r="D310" s="2" t="s">
        <v>5</v>
      </c>
      <c r="G310" s="138"/>
    </row>
    <row r="311" spans="4:7" ht="12.75" hidden="1">
      <c r="D311" s="2" t="s">
        <v>1166</v>
      </c>
      <c r="G311" s="138"/>
    </row>
    <row r="312" spans="4:7" ht="12.75" hidden="1">
      <c r="D312" s="2" t="s">
        <v>401</v>
      </c>
      <c r="G312" s="138"/>
    </row>
    <row r="313" spans="4:7" ht="12.75" hidden="1">
      <c r="D313" s="2" t="s">
        <v>1167</v>
      </c>
      <c r="G313" s="138"/>
    </row>
    <row r="314" spans="4:7" ht="12.75" hidden="1">
      <c r="D314" s="2" t="s">
        <v>381</v>
      </c>
      <c r="G314" s="138"/>
    </row>
    <row r="315" spans="4:7" ht="12.75" hidden="1">
      <c r="D315" s="2" t="s">
        <v>1168</v>
      </c>
      <c r="G315" s="138"/>
    </row>
    <row r="316" spans="4:7" ht="12.75" hidden="1">
      <c r="D316" s="2" t="s">
        <v>1169</v>
      </c>
      <c r="G316" s="138"/>
    </row>
    <row r="317" spans="4:7" ht="12.75" hidden="1">
      <c r="D317" s="2" t="s">
        <v>1170</v>
      </c>
      <c r="G317" s="138"/>
    </row>
    <row r="318" spans="4:7" ht="12.75" hidden="1">
      <c r="D318" s="2" t="s">
        <v>3</v>
      </c>
      <c r="G318" s="138"/>
    </row>
    <row r="319" spans="4:7" ht="12.75" hidden="1">
      <c r="D319" s="2" t="s">
        <v>988</v>
      </c>
      <c r="G319" s="138"/>
    </row>
    <row r="320" spans="4:7" ht="12.75">
      <c r="G320" s="138"/>
    </row>
    <row r="321" spans="7:7" ht="12.75">
      <c r="G321" s="138"/>
    </row>
    <row r="322" spans="7:7" ht="11.1" customHeight="1"/>
    <row r="328" spans="7:7" ht="12.75">
      <c r="G328" s="138"/>
    </row>
    <row r="444" spans="7:7" ht="12.75">
      <c r="G444" s="138"/>
    </row>
  </sheetData>
  <sheetProtection algorithmName="SHA-512" hashValue="tKEozz7Pwbq7uzGqP8ulyjGVFhjmEEEEt6PvacuxB1xAMC0cWXmjmnXx42pPWsPRE6hb9auUcnafCCXxCaVSaQ==" saltValue="u1fUbJ+3Mdkg2fLg8pQ2rw==" spinCount="100000" sheet="1" objects="1" scenarios="1"/>
  <sortState xmlns:xlrd2="http://schemas.microsoft.com/office/spreadsheetml/2017/richdata2" ref="D169:G327">
    <sortCondition ref="D169:D327"/>
  </sortState>
  <customSheetViews>
    <customSheetView guid="{FBB78E72-3FBC-498A-91AC-D094BCE26D3C}" showGridLines="0" hiddenRows="1" topLeftCell="A116">
      <selection activeCell="L314" sqref="L314"/>
      <rowBreaks count="1" manualBreakCount="1">
        <brk id="63" max="16383" man="1"/>
      </rowBreaks>
      <pageMargins left="0.25" right="0.25" top="0.86" bottom="1" header="0.28999999999999998" footer="0.5"/>
      <pageSetup scale="50"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GridLines="0" hiddenRows="1" topLeftCell="A116">
      <selection activeCell="L314" sqref="L314"/>
      <rowBreaks count="1" manualBreakCount="1">
        <brk id="63" max="16383" man="1"/>
      </rowBreaks>
      <pageMargins left="0.25" right="0.25" top="0.86" bottom="1" header="0.28999999999999998" footer="0.5"/>
      <pageSetup scale="50"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GridLines="0" hiddenRows="1" topLeftCell="A116">
      <selection activeCell="L314" sqref="L314"/>
      <rowBreaks count="1" manualBreakCount="1">
        <brk id="63" max="16383" man="1"/>
      </rowBreaks>
      <pageMargins left="0.25" right="0.25" top="0.86" bottom="1" header="0.28999999999999998" footer="0.5"/>
      <pageSetup scale="50"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view="pageBreakPreview">
      <rowBreaks count="1" manualBreakCount="1">
        <brk id="69" max="16383" man="1"/>
      </rowBreaks>
      <pageMargins left="0.25" right="0.25" top="0.86" bottom="1" header="0.28999999999999998" footer="0.5"/>
      <pageSetup scale="65"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GridLines="0" hiddenRows="1">
      <selection activeCell="E19" sqref="E19"/>
      <rowBreaks count="1" manualBreakCount="1">
        <brk id="69" max="16383" man="1"/>
      </rowBreaks>
      <pageMargins left="0.25" right="0.25" top="0.86" bottom="1" header="0.28999999999999998" footer="0.5"/>
      <pageSetup scale="65"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54">
    <mergeCell ref="B1:E1"/>
    <mergeCell ref="B2:E2"/>
    <mergeCell ref="B3:E3"/>
    <mergeCell ref="B4:E4"/>
    <mergeCell ref="B5:E5"/>
    <mergeCell ref="B6:E6"/>
    <mergeCell ref="B81:C81"/>
    <mergeCell ref="B97:F97"/>
    <mergeCell ref="B98:F98"/>
    <mergeCell ref="B105:F105"/>
    <mergeCell ref="B99:F99"/>
    <mergeCell ref="B50:C50"/>
    <mergeCell ref="B71:C71"/>
    <mergeCell ref="B110:F110"/>
    <mergeCell ref="B111:F111"/>
    <mergeCell ref="B100:F100"/>
    <mergeCell ref="B101:F101"/>
    <mergeCell ref="B102:F102"/>
    <mergeCell ref="B103:F103"/>
    <mergeCell ref="B104:F104"/>
    <mergeCell ref="B112:F112"/>
    <mergeCell ref="B113:F113"/>
    <mergeCell ref="B114:F114"/>
    <mergeCell ref="B115:F115"/>
    <mergeCell ref="B129:F129"/>
    <mergeCell ref="B116:F116"/>
    <mergeCell ref="B117:F117"/>
    <mergeCell ref="B118:F118"/>
    <mergeCell ref="B124:F124"/>
    <mergeCell ref="B123:F123"/>
    <mergeCell ref="B130:F130"/>
    <mergeCell ref="B131:F131"/>
    <mergeCell ref="B136:F136"/>
    <mergeCell ref="B125:F125"/>
    <mergeCell ref="B126:F126"/>
    <mergeCell ref="B127:F127"/>
    <mergeCell ref="B128:F128"/>
    <mergeCell ref="B141:F141"/>
    <mergeCell ref="B142:F142"/>
    <mergeCell ref="B143:F143"/>
    <mergeCell ref="B144:F144"/>
    <mergeCell ref="B137:F137"/>
    <mergeCell ref="B138:F138"/>
    <mergeCell ref="B139:F139"/>
    <mergeCell ref="B140:F140"/>
    <mergeCell ref="B154:F154"/>
    <mergeCell ref="B155:F155"/>
    <mergeCell ref="B156:F156"/>
    <mergeCell ref="B157:F157"/>
    <mergeCell ref="B149:F149"/>
    <mergeCell ref="B150:F150"/>
    <mergeCell ref="B151:F151"/>
    <mergeCell ref="B152:F152"/>
    <mergeCell ref="B153:F153"/>
  </mergeCells>
  <phoneticPr fontId="27" type="noConversion"/>
  <conditionalFormatting sqref="A28:A29">
    <cfRule type="cellIs" dxfId="219" priority="3" operator="equal">
      <formula>"Answer Required"</formula>
    </cfRule>
  </conditionalFormatting>
  <conditionalFormatting sqref="A65:A66">
    <cfRule type="cellIs" dxfId="218" priority="1" operator="equal">
      <formula>"Answer Required"</formula>
    </cfRule>
  </conditionalFormatting>
  <conditionalFormatting sqref="D49">
    <cfRule type="cellIs" dxfId="217" priority="9" operator="equal">
      <formula>"ERROR"</formula>
    </cfRule>
  </conditionalFormatting>
  <conditionalFormatting sqref="G107">
    <cfRule type="cellIs" dxfId="216" priority="8" operator="equal">
      <formula>"ERROR"</formula>
    </cfRule>
  </conditionalFormatting>
  <conditionalFormatting sqref="G120">
    <cfRule type="cellIs" dxfId="215" priority="7" operator="equal">
      <formula>"ERROR"</formula>
    </cfRule>
  </conditionalFormatting>
  <conditionalFormatting sqref="G133">
    <cfRule type="cellIs" dxfId="214" priority="6" operator="equal">
      <formula>"ERROR"</formula>
    </cfRule>
  </conditionalFormatting>
  <conditionalFormatting sqref="G146">
    <cfRule type="cellIs" dxfId="213" priority="5" operator="equal">
      <formula>"ERROR"</formula>
    </cfRule>
  </conditionalFormatting>
  <conditionalFormatting sqref="G159">
    <cfRule type="cellIs" dxfId="212" priority="4" operator="equal">
      <formula>"ERROR"</formula>
    </cfRule>
  </conditionalFormatting>
  <dataValidations count="7">
    <dataValidation type="whole" allowBlank="1" showInputMessage="1" showErrorMessage="1" error="Enter a whole number." sqref="G98:G105 G124:G131 G137:G144 G111:G118 D44:E48 G150:G157 D21:E25 D27:E30 D58:E66" xr:uid="{00000000-0002-0000-0700-000000000000}">
      <formula1>-9999999999999</formula1>
      <formula2>9999999999999</formula2>
    </dataValidation>
    <dataValidation type="whole" allowBlank="1" showInputMessage="1" showErrorMessage="1" error="Enter a whole number." sqref="D75:E79" xr:uid="{00000000-0002-0000-0700-000001000000}">
      <formula1>0</formula1>
      <formula2>999999999999</formula2>
    </dataValidation>
    <dataValidation type="whole" allowBlank="1" showInputMessage="1" showErrorMessage="1" error="Enter a negative whole number." sqref="D36:E39" xr:uid="{00000000-0002-0000-0700-000002000000}">
      <formula1>-999999999999999000000</formula1>
      <formula2>-1</formula2>
    </dataValidation>
    <dataValidation type="whole" allowBlank="1" showInputMessage="1" showErrorMessage="1" error="Enter a negative whole number." sqref="D34:E34" xr:uid="{00000000-0002-0000-0700-000003000000}">
      <formula1>-9999999999999</formula1>
      <formula2>-1</formula2>
    </dataValidation>
    <dataValidation type="whole" allowBlank="1" showInputMessage="1" showErrorMessage="1" error="Enter a negative whole number" sqref="D69:E69" xr:uid="{6D9EAB75-8488-43DD-B9E0-0D13AC96B87B}">
      <formula1>-9999999999999</formula1>
      <formula2>0</formula2>
    </dataValidation>
    <dataValidation type="list" allowBlank="1" showErrorMessage="1" error="Use drop-down list to select Component Unit" sqref="A137:A144 A124:A131" xr:uid="{00000000-0002-0000-0700-000004000000}">
      <formula1>$A$169:$A$262</formula1>
    </dataValidation>
    <dataValidation type="list" allowBlank="1" showErrorMessage="1" error="Please use drop-down list to select Primary Government Name" sqref="A98:A105 A111:A118" xr:uid="{00000000-0002-0000-0700-000005000000}">
      <formula1>$D$169:$D$319</formula1>
    </dataValidation>
  </dataValidations>
  <pageMargins left="0.75" right="0.25" top="0.86" bottom="1" header="0.28999999999999998" footer="0.5"/>
  <pageSetup scale="65" orientation="portrait" cellComments="asDisplayed" r:id="rId6"/>
  <headerFooter alignWithMargins="0">
    <oddHeader>&amp;C&amp;"Times New Roman,Bold"Attachment CU4
Financial Statement Template (FST)
&amp;A</oddHeader>
    <oddFooter>&amp;L&amp;"Times New Roman,Regular"&amp;F \ &amp;A&amp;RPage &amp;P</oddFooter>
  </headerFooter>
  <rowBreaks count="1" manualBreakCount="1">
    <brk id="93" max="16383" man="1"/>
  </rowBreaks>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S284"/>
  <sheetViews>
    <sheetView showGridLines="0" zoomScaleNormal="100" zoomScaleSheetLayoutView="100" workbookViewId="0">
      <selection activeCell="B3" sqref="B3:G3"/>
    </sheetView>
  </sheetViews>
  <sheetFormatPr defaultColWidth="8.85546875" defaultRowHeight="11.25"/>
  <cols>
    <col min="1" max="1" width="32.42578125" style="2" customWidth="1"/>
    <col min="2" max="2" width="8.85546875" style="2" customWidth="1"/>
    <col min="3" max="3" width="8.5703125" style="2" customWidth="1"/>
    <col min="4" max="4" width="18.28515625" style="2" customWidth="1"/>
    <col min="5" max="6" width="2.140625" style="2" customWidth="1"/>
    <col min="7" max="7" width="16.42578125" style="2" customWidth="1"/>
    <col min="8" max="8" width="1.7109375" style="2" customWidth="1"/>
    <col min="9" max="9" width="2" style="2" customWidth="1"/>
    <col min="10" max="10" width="17.140625" style="2" customWidth="1"/>
    <col min="11" max="11" width="1.42578125" style="2" customWidth="1"/>
    <col min="12" max="12" width="2.5703125" style="2" customWidth="1"/>
    <col min="13" max="13" width="16.85546875" style="2" customWidth="1"/>
    <col min="14" max="14" width="16" style="2" customWidth="1"/>
    <col min="15" max="17" width="8.85546875" style="2" customWidth="1"/>
    <col min="18" max="18" width="10.85546875" style="2" bestFit="1" customWidth="1"/>
    <col min="19" max="21" width="8.85546875" style="2" customWidth="1"/>
    <col min="22" max="16384" width="8.85546875" style="2"/>
  </cols>
  <sheetData>
    <row r="1" spans="1:18">
      <c r="A1" s="7" t="s">
        <v>507</v>
      </c>
      <c r="B1" s="1315" t="str">
        <f>'Component Unit Template'!G1</f>
        <v/>
      </c>
      <c r="C1" s="1316"/>
      <c r="D1" s="1316"/>
      <c r="E1" s="1316"/>
      <c r="F1" s="1316"/>
      <c r="G1" s="1327"/>
    </row>
    <row r="2" spans="1:18" ht="24" customHeight="1">
      <c r="A2" s="7" t="s">
        <v>528</v>
      </c>
      <c r="B2" s="1315" t="str">
        <f>IF('Component Unit Template'!G2="","",'Component Unit Template'!G2)</f>
        <v/>
      </c>
      <c r="C2" s="1316"/>
      <c r="D2" s="1316"/>
      <c r="E2" s="1316"/>
      <c r="F2" s="1316"/>
      <c r="G2" s="1327"/>
    </row>
    <row r="3" spans="1:18">
      <c r="A3" s="7" t="s">
        <v>586</v>
      </c>
      <c r="B3" s="1318" t="str">
        <f>IF('Component Unit Template'!G3="","",'Component Unit Template'!G3)</f>
        <v/>
      </c>
      <c r="C3" s="1319"/>
      <c r="D3" s="1319"/>
      <c r="E3" s="1319"/>
      <c r="F3" s="1319"/>
      <c r="G3" s="1328"/>
    </row>
    <row r="4" spans="1:18">
      <c r="A4" s="7" t="s">
        <v>315</v>
      </c>
      <c r="B4" s="1321" t="str">
        <f>IF('Component Unit Template'!G4="","",'Component Unit Template'!G4)</f>
        <v/>
      </c>
      <c r="C4" s="1322"/>
      <c r="D4" s="1322"/>
      <c r="E4" s="1322"/>
      <c r="F4" s="1322"/>
      <c r="G4" s="1329"/>
    </row>
    <row r="5" spans="1:18">
      <c r="A5" s="7" t="s">
        <v>677</v>
      </c>
      <c r="B5" s="1324" t="str">
        <f>IF('Component Unit Template'!G5="","",'Component Unit Template'!G5)</f>
        <v/>
      </c>
      <c r="C5" s="1325"/>
      <c r="D5" s="1325"/>
      <c r="E5" s="1325"/>
      <c r="F5" s="1325"/>
      <c r="G5" s="1369"/>
    </row>
    <row r="6" spans="1:18">
      <c r="A6" s="7" t="s">
        <v>36</v>
      </c>
      <c r="B6" s="1311" t="str">
        <f>IF('Component Unit Template'!G6="","",'Component Unit Template'!G6)</f>
        <v/>
      </c>
      <c r="C6" s="1312"/>
      <c r="D6" s="1312"/>
      <c r="E6" s="1312"/>
      <c r="F6" s="1312"/>
      <c r="G6" s="1370"/>
    </row>
    <row r="7" spans="1:18">
      <c r="B7" s="4"/>
      <c r="C7" s="143"/>
      <c r="D7" s="143"/>
    </row>
    <row r="8" spans="1:18" hidden="1">
      <c r="B8" s="4"/>
      <c r="C8" s="143"/>
      <c r="D8" s="143"/>
    </row>
    <row r="9" spans="1:18">
      <c r="A9" s="7" t="s">
        <v>307</v>
      </c>
    </row>
    <row r="10" spans="1:18">
      <c r="A10" s="7" t="str">
        <f>'Component Unit Template'!A35</f>
        <v>For the Year Ended June 30, 2024</v>
      </c>
    </row>
    <row r="11" spans="1:18" ht="28.5" customHeight="1"/>
    <row r="12" spans="1:18" s="126" customFormat="1" ht="12.6" customHeight="1">
      <c r="A12" s="124" t="s">
        <v>493</v>
      </c>
      <c r="E12" s="191"/>
      <c r="F12" s="192"/>
      <c r="G12" s="192"/>
      <c r="H12" s="191"/>
      <c r="I12" s="192"/>
      <c r="J12" s="192"/>
      <c r="K12" s="191"/>
      <c r="L12" s="1392"/>
      <c r="M12" s="1392"/>
    </row>
    <row r="13" spans="1:18" s="126" customFormat="1" ht="12.6" customHeight="1">
      <c r="C13" s="1394" t="s">
        <v>664</v>
      </c>
      <c r="D13" s="1394"/>
      <c r="E13" s="403"/>
      <c r="F13" s="192"/>
      <c r="G13" s="193"/>
      <c r="H13" s="191"/>
      <c r="I13" s="192"/>
      <c r="J13" s="192"/>
      <c r="K13" s="191"/>
      <c r="L13" s="1392" t="s">
        <v>664</v>
      </c>
      <c r="M13" s="1392"/>
    </row>
    <row r="14" spans="1:18" s="126" customFormat="1" ht="12" customHeight="1">
      <c r="C14" s="1393" t="s">
        <v>1812</v>
      </c>
      <c r="D14" s="1393"/>
      <c r="E14" s="191"/>
      <c r="F14" s="195"/>
      <c r="G14" s="195" t="s">
        <v>665</v>
      </c>
      <c r="H14" s="191"/>
      <c r="I14" s="195"/>
      <c r="J14" s="195" t="s">
        <v>666</v>
      </c>
      <c r="K14" s="191"/>
      <c r="L14" s="1395" t="s">
        <v>1813</v>
      </c>
      <c r="M14" s="1395"/>
      <c r="R14" s="88"/>
    </row>
    <row r="15" spans="1:18" s="88" customFormat="1" ht="12.6" customHeight="1">
      <c r="A15" s="88" t="s">
        <v>667</v>
      </c>
      <c r="D15" s="196" t="s">
        <v>313</v>
      </c>
      <c r="G15" s="196" t="s">
        <v>313</v>
      </c>
      <c r="J15" s="196" t="s">
        <v>314</v>
      </c>
      <c r="M15" s="161"/>
      <c r="R15" s="265"/>
    </row>
    <row r="16" spans="1:18" s="88" customFormat="1" ht="12.6" customHeight="1">
      <c r="A16" s="88" t="s">
        <v>633</v>
      </c>
      <c r="C16" s="197" t="s">
        <v>668</v>
      </c>
      <c r="D16" s="12"/>
      <c r="E16" s="198"/>
      <c r="F16" s="198" t="s">
        <v>668</v>
      </c>
      <c r="G16" s="12"/>
      <c r="H16" s="198"/>
      <c r="I16" s="198" t="s">
        <v>668</v>
      </c>
      <c r="J16" s="12"/>
      <c r="K16" s="198"/>
      <c r="L16" s="198" t="s">
        <v>668</v>
      </c>
      <c r="M16" s="198">
        <f>SUM(D16,G16,J16)</f>
        <v>0</v>
      </c>
      <c r="R16" s="265"/>
    </row>
    <row r="17" spans="1:19" s="88" customFormat="1" ht="12.6" customHeight="1">
      <c r="A17" s="88" t="s">
        <v>809</v>
      </c>
      <c r="C17" s="197"/>
      <c r="D17" s="12"/>
      <c r="E17" s="198"/>
      <c r="F17" s="198"/>
      <c r="G17" s="12"/>
      <c r="H17" s="198"/>
      <c r="I17" s="198"/>
      <c r="J17" s="12"/>
      <c r="K17" s="198"/>
      <c r="L17" s="198"/>
      <c r="M17" s="198">
        <f>SUM(D17,G17,J17)</f>
        <v>0</v>
      </c>
      <c r="R17" s="265"/>
    </row>
    <row r="18" spans="1:19" s="88" customFormat="1" ht="12.6" customHeight="1">
      <c r="A18" s="812" t="s">
        <v>1423</v>
      </c>
      <c r="C18" s="197"/>
      <c r="D18" s="12"/>
      <c r="E18" s="198"/>
      <c r="F18" s="198"/>
      <c r="G18" s="12"/>
      <c r="H18" s="198"/>
      <c r="I18" s="198"/>
      <c r="J18" s="12"/>
      <c r="K18" s="198"/>
      <c r="L18" s="198"/>
      <c r="M18" s="198">
        <f>SUM(D18,G18,J18)</f>
        <v>0</v>
      </c>
      <c r="N18" s="194"/>
      <c r="R18" s="265"/>
    </row>
    <row r="19" spans="1:19" s="88" customFormat="1" ht="12.6" hidden="1" customHeight="1">
      <c r="A19" s="88" t="s">
        <v>31</v>
      </c>
      <c r="C19" s="197"/>
      <c r="D19" s="12"/>
      <c r="E19" s="198"/>
      <c r="F19" s="198"/>
      <c r="G19" s="12"/>
      <c r="H19" s="198"/>
      <c r="I19" s="198"/>
      <c r="J19" s="12"/>
      <c r="K19" s="198"/>
      <c r="L19" s="198"/>
      <c r="M19" s="198">
        <f>SUM(D19,G19,J19)</f>
        <v>0</v>
      </c>
      <c r="N19" s="194"/>
      <c r="R19" s="266"/>
    </row>
    <row r="20" spans="1:19" s="88" customFormat="1" ht="30" customHeight="1">
      <c r="A20" s="840" t="s">
        <v>1441</v>
      </c>
      <c r="C20" s="197"/>
      <c r="D20" s="12"/>
      <c r="E20" s="198"/>
      <c r="F20" s="198"/>
      <c r="G20" s="12"/>
      <c r="H20" s="198"/>
      <c r="I20" s="198"/>
      <c r="J20" s="12"/>
      <c r="K20" s="198"/>
      <c r="L20" s="200"/>
      <c r="M20" s="200">
        <f>SUM(D20,G20,J20)</f>
        <v>0</v>
      </c>
      <c r="R20" s="331"/>
    </row>
    <row r="21" spans="1:19" s="88" customFormat="1">
      <c r="A21" s="332" t="str">
        <f>IF(M20=0,"","Answer Required")</f>
        <v/>
      </c>
      <c r="C21" s="197"/>
      <c r="D21" s="270"/>
      <c r="E21" s="270"/>
      <c r="F21" s="270"/>
      <c r="G21" s="270"/>
      <c r="H21" s="270"/>
      <c r="I21" s="270"/>
      <c r="J21" s="270"/>
      <c r="K21" s="198"/>
      <c r="L21" s="204"/>
      <c r="M21" s="204"/>
      <c r="N21" s="194" t="s">
        <v>47</v>
      </c>
      <c r="R21" s="331"/>
    </row>
    <row r="22" spans="1:19" s="88" customFormat="1" ht="12.6" customHeight="1">
      <c r="A22" s="88" t="s">
        <v>673</v>
      </c>
      <c r="C22" s="199"/>
      <c r="D22" s="200">
        <f>SUM(D16:D18,D20)</f>
        <v>0</v>
      </c>
      <c r="E22" s="198"/>
      <c r="F22" s="200"/>
      <c r="G22" s="200">
        <f>SUM(G16:G18,G20)</f>
        <v>0</v>
      </c>
      <c r="H22" s="198"/>
      <c r="I22" s="200"/>
      <c r="J22" s="200">
        <f>SUM(J16:J18,J20)</f>
        <v>0</v>
      </c>
      <c r="K22" s="198"/>
      <c r="L22" s="200"/>
      <c r="M22" s="843">
        <f>IF(SUM(M16:M18,M20)='Component Unit Template'!K114,SUM(M16:M18,M20),"ERROR")</f>
        <v>0</v>
      </c>
      <c r="N22" s="202">
        <f>SUM(M16:M20)-'Component Unit Template'!K114</f>
        <v>0</v>
      </c>
    </row>
    <row r="23" spans="1:19" s="88" customFormat="1" ht="12.6" customHeight="1">
      <c r="C23" s="197"/>
      <c r="D23" s="90"/>
      <c r="E23" s="197"/>
      <c r="F23" s="197"/>
      <c r="G23" s="90"/>
      <c r="H23" s="197"/>
      <c r="I23" s="197"/>
      <c r="J23" s="90"/>
      <c r="K23" s="197"/>
      <c r="L23" s="197"/>
      <c r="M23" s="203"/>
    </row>
    <row r="24" spans="1:19" s="88" customFormat="1" ht="12.6" customHeight="1">
      <c r="A24" s="88" t="s">
        <v>1389</v>
      </c>
      <c r="C24" s="197"/>
      <c r="D24" s="196" t="s">
        <v>313</v>
      </c>
      <c r="E24" s="197"/>
      <c r="F24" s="197"/>
      <c r="G24" s="196" t="s">
        <v>313</v>
      </c>
      <c r="H24" s="197"/>
      <c r="I24" s="197"/>
      <c r="J24" s="196" t="s">
        <v>314</v>
      </c>
      <c r="K24" s="197"/>
      <c r="L24" s="197"/>
      <c r="M24" s="90"/>
    </row>
    <row r="25" spans="1:19" s="88" customFormat="1" ht="12.6" customHeight="1">
      <c r="A25" s="88" t="s">
        <v>635</v>
      </c>
      <c r="C25" s="197"/>
      <c r="D25" s="12"/>
      <c r="E25" s="198"/>
      <c r="F25" s="198"/>
      <c r="G25" s="12"/>
      <c r="H25" s="198"/>
      <c r="I25" s="198"/>
      <c r="J25" s="12"/>
      <c r="K25" s="198"/>
      <c r="L25" s="198"/>
      <c r="M25" s="198">
        <f t="shared" ref="M25:M34" si="0">SUM(D25,G25,J25)</f>
        <v>0</v>
      </c>
      <c r="R25" s="265"/>
    </row>
    <row r="26" spans="1:19" s="88" customFormat="1" ht="12.6" customHeight="1">
      <c r="A26" s="88" t="s">
        <v>608</v>
      </c>
      <c r="C26" s="197"/>
      <c r="D26" s="12"/>
      <c r="E26" s="198"/>
      <c r="F26" s="198"/>
      <c r="G26" s="12"/>
      <c r="H26" s="198"/>
      <c r="I26" s="198"/>
      <c r="J26" s="12"/>
      <c r="K26" s="198"/>
      <c r="L26" s="198"/>
      <c r="M26" s="198">
        <f t="shared" si="0"/>
        <v>0</v>
      </c>
      <c r="R26" s="265"/>
      <c r="S26" s="19"/>
    </row>
    <row r="27" spans="1:19" s="88" customFormat="1" ht="12.6" customHeight="1">
      <c r="A27" s="88" t="s">
        <v>637</v>
      </c>
      <c r="C27" s="197"/>
      <c r="D27" s="12"/>
      <c r="E27" s="198"/>
      <c r="F27" s="198"/>
      <c r="G27" s="12"/>
      <c r="H27" s="198"/>
      <c r="I27" s="198"/>
      <c r="J27" s="12"/>
      <c r="K27" s="198"/>
      <c r="L27" s="204"/>
      <c r="M27" s="204">
        <f t="shared" si="0"/>
        <v>0</v>
      </c>
      <c r="R27" s="265"/>
      <c r="S27" s="19"/>
    </row>
    <row r="28" spans="1:19" s="88" customFormat="1" ht="12.6" customHeight="1">
      <c r="A28" s="88" t="s">
        <v>638</v>
      </c>
      <c r="C28" s="197"/>
      <c r="D28" s="12"/>
      <c r="E28" s="198"/>
      <c r="F28" s="198"/>
      <c r="G28" s="12"/>
      <c r="H28" s="198"/>
      <c r="I28" s="198"/>
      <c r="J28" s="12"/>
      <c r="K28" s="204"/>
      <c r="L28" s="204"/>
      <c r="M28" s="204">
        <f t="shared" si="0"/>
        <v>0</v>
      </c>
      <c r="R28" s="265"/>
      <c r="S28" s="19"/>
    </row>
    <row r="29" spans="1:19" s="88" customFormat="1" ht="12.6" customHeight="1">
      <c r="A29" s="206" t="s">
        <v>607</v>
      </c>
      <c r="C29" s="197"/>
      <c r="D29" s="12"/>
      <c r="E29" s="198"/>
      <c r="F29" s="198"/>
      <c r="G29" s="12"/>
      <c r="H29" s="198"/>
      <c r="I29" s="198"/>
      <c r="J29" s="12"/>
      <c r="K29" s="204"/>
      <c r="L29" s="204"/>
      <c r="M29" s="204">
        <f t="shared" si="0"/>
        <v>0</v>
      </c>
      <c r="R29" s="265"/>
      <c r="S29" s="19"/>
    </row>
    <row r="30" spans="1:19" s="88" customFormat="1" ht="12.6" customHeight="1">
      <c r="A30" s="206" t="s">
        <v>724</v>
      </c>
      <c r="C30" s="197"/>
      <c r="D30" s="270"/>
      <c r="E30" s="270"/>
      <c r="F30" s="270"/>
      <c r="G30" s="270"/>
      <c r="H30" s="270"/>
      <c r="I30" s="270"/>
      <c r="J30" s="270"/>
      <c r="K30" s="204"/>
      <c r="L30" s="204"/>
      <c r="M30" s="204"/>
      <c r="R30" s="265"/>
      <c r="S30" s="19"/>
    </row>
    <row r="31" spans="1:19" s="88" customFormat="1" ht="12.6" customHeight="1">
      <c r="A31" s="265" t="s">
        <v>550</v>
      </c>
      <c r="C31" s="197"/>
      <c r="D31" s="12"/>
      <c r="E31" s="198"/>
      <c r="F31" s="198"/>
      <c r="G31" s="12"/>
      <c r="H31" s="198"/>
      <c r="I31" s="198"/>
      <c r="J31" s="12"/>
      <c r="K31" s="204"/>
      <c r="L31" s="204"/>
      <c r="M31" s="204">
        <f t="shared" si="0"/>
        <v>0</v>
      </c>
      <c r="R31" s="331"/>
      <c r="S31" s="19"/>
    </row>
    <row r="32" spans="1:19" s="88" customFormat="1" ht="12.6" customHeight="1">
      <c r="A32" s="265" t="s">
        <v>810</v>
      </c>
      <c r="C32" s="197"/>
      <c r="D32" s="12"/>
      <c r="E32" s="198"/>
      <c r="F32" s="198"/>
      <c r="G32" s="12"/>
      <c r="H32" s="198"/>
      <c r="I32" s="198"/>
      <c r="J32" s="12"/>
      <c r="K32" s="204"/>
      <c r="L32" s="204"/>
      <c r="M32" s="204">
        <f t="shared" si="0"/>
        <v>0</v>
      </c>
      <c r="R32" s="331"/>
      <c r="S32" s="19"/>
    </row>
    <row r="33" spans="1:19" s="88" customFormat="1" ht="12.6" customHeight="1">
      <c r="A33" s="265" t="s">
        <v>199</v>
      </c>
      <c r="C33" s="197"/>
      <c r="D33" s="12"/>
      <c r="E33" s="198"/>
      <c r="F33" s="198"/>
      <c r="G33" s="12"/>
      <c r="H33" s="198"/>
      <c r="I33" s="198"/>
      <c r="J33" s="12"/>
      <c r="K33" s="204"/>
      <c r="L33" s="204"/>
      <c r="M33" s="204">
        <f t="shared" si="0"/>
        <v>0</v>
      </c>
      <c r="R33" s="331"/>
    </row>
    <row r="34" spans="1:19" s="88" customFormat="1" ht="12.6" customHeight="1">
      <c r="A34" s="265" t="s">
        <v>1394</v>
      </c>
      <c r="C34" s="197"/>
      <c r="D34" s="12"/>
      <c r="E34" s="198"/>
      <c r="F34" s="197"/>
      <c r="G34" s="12"/>
      <c r="H34" s="198"/>
      <c r="I34" s="197"/>
      <c r="J34" s="12"/>
      <c r="K34" s="204"/>
      <c r="L34" s="204"/>
      <c r="M34" s="204">
        <f t="shared" si="0"/>
        <v>0</v>
      </c>
      <c r="R34" s="331"/>
    </row>
    <row r="35" spans="1:19" s="88" customFormat="1">
      <c r="A35" s="333" t="str">
        <f>IF(M34=0,"","Answer Required")</f>
        <v/>
      </c>
      <c r="C35" s="197"/>
      <c r="D35" s="322"/>
      <c r="E35" s="270"/>
      <c r="F35" s="270"/>
      <c r="G35" s="322"/>
      <c r="H35" s="270"/>
      <c r="I35" s="270"/>
      <c r="J35" s="322"/>
      <c r="K35" s="270"/>
      <c r="L35" s="270"/>
      <c r="M35" s="270"/>
      <c r="R35" s="331"/>
    </row>
    <row r="36" spans="1:19" s="88" customFormat="1" ht="12.6" customHeight="1">
      <c r="A36" s="206" t="s">
        <v>1424</v>
      </c>
      <c r="C36" s="197"/>
      <c r="D36" s="270"/>
      <c r="E36" s="270"/>
      <c r="F36" s="270"/>
      <c r="G36" s="270"/>
      <c r="H36" s="270"/>
      <c r="I36" s="270"/>
      <c r="J36" s="270"/>
      <c r="K36" s="204"/>
      <c r="L36" s="204"/>
      <c r="M36" s="204"/>
      <c r="R36" s="265"/>
      <c r="S36" s="19"/>
    </row>
    <row r="37" spans="1:19" s="88" customFormat="1" ht="12.6" customHeight="1">
      <c r="A37" s="88" t="s">
        <v>1557</v>
      </c>
      <c r="C37" s="197"/>
      <c r="D37" s="12"/>
      <c r="E37" s="198"/>
      <c r="F37" s="198"/>
      <c r="G37" s="12"/>
      <c r="H37" s="198"/>
      <c r="I37" s="198"/>
      <c r="J37" s="12"/>
      <c r="K37" s="204"/>
      <c r="L37" s="204"/>
      <c r="M37" s="204">
        <f t="shared" ref="M37:M41" si="1">SUM(D37,G37,J37)</f>
        <v>0</v>
      </c>
      <c r="R37" s="331"/>
      <c r="S37" s="19"/>
    </row>
    <row r="38" spans="1:19" s="88" customFormat="1" ht="12.6" customHeight="1">
      <c r="A38" s="88" t="s">
        <v>1392</v>
      </c>
      <c r="C38" s="197"/>
      <c r="D38" s="12"/>
      <c r="E38" s="198"/>
      <c r="F38" s="198"/>
      <c r="G38" s="12"/>
      <c r="H38" s="198"/>
      <c r="I38" s="198"/>
      <c r="J38" s="12"/>
      <c r="K38" s="204"/>
      <c r="L38" s="204"/>
      <c r="M38" s="204">
        <f t="shared" si="1"/>
        <v>0</v>
      </c>
      <c r="R38" s="331"/>
      <c r="S38" s="19"/>
    </row>
    <row r="39" spans="1:19" s="88" customFormat="1" ht="12.6" customHeight="1">
      <c r="A39" s="88" t="s">
        <v>1393</v>
      </c>
      <c r="C39" s="197"/>
      <c r="D39" s="12"/>
      <c r="E39" s="198"/>
      <c r="F39" s="198"/>
      <c r="G39" s="12"/>
      <c r="H39" s="198"/>
      <c r="I39" s="198"/>
      <c r="J39" s="12"/>
      <c r="K39" s="204"/>
      <c r="L39" s="204"/>
      <c r="M39" s="204">
        <f t="shared" si="1"/>
        <v>0</v>
      </c>
      <c r="R39" s="331"/>
      <c r="S39" s="19"/>
    </row>
    <row r="40" spans="1:19" s="88" customFormat="1" ht="12.6" customHeight="1">
      <c r="A40" s="88" t="s">
        <v>1558</v>
      </c>
      <c r="C40" s="197"/>
      <c r="D40" s="12"/>
      <c r="E40" s="198"/>
      <c r="F40" s="198"/>
      <c r="G40" s="12"/>
      <c r="H40" s="198"/>
      <c r="I40" s="198"/>
      <c r="J40" s="12"/>
      <c r="K40" s="204"/>
      <c r="L40" s="204"/>
      <c r="M40" s="204">
        <f t="shared" si="1"/>
        <v>0</v>
      </c>
      <c r="R40" s="331"/>
    </row>
    <row r="41" spans="1:19" s="88" customFormat="1" ht="12.6" customHeight="1">
      <c r="A41" s="88" t="s">
        <v>1560</v>
      </c>
      <c r="C41" s="197"/>
      <c r="D41" s="12"/>
      <c r="E41" s="198"/>
      <c r="F41" s="197"/>
      <c r="G41" s="12"/>
      <c r="H41" s="198"/>
      <c r="I41" s="197"/>
      <c r="J41" s="12"/>
      <c r="K41" s="204"/>
      <c r="L41" s="204"/>
      <c r="M41" s="204">
        <f t="shared" si="1"/>
        <v>0</v>
      </c>
      <c r="R41" s="331"/>
    </row>
    <row r="42" spans="1:19" s="88" customFormat="1">
      <c r="A42" s="333" t="str">
        <f>IF(M41=0,"","Answer Required")</f>
        <v/>
      </c>
      <c r="C42" s="197"/>
      <c r="D42" s="322"/>
      <c r="E42" s="270"/>
      <c r="F42" s="270"/>
      <c r="G42" s="322"/>
      <c r="H42" s="270"/>
      <c r="I42" s="270"/>
      <c r="J42" s="322"/>
      <c r="K42" s="270"/>
      <c r="L42" s="270"/>
      <c r="M42" s="270"/>
      <c r="R42" s="331"/>
    </row>
    <row r="43" spans="1:19" s="88" customFormat="1" ht="12.6" customHeight="1">
      <c r="A43" s="812" t="s">
        <v>1555</v>
      </c>
      <c r="C43" s="197"/>
      <c r="D43" s="12"/>
      <c r="E43" s="198"/>
      <c r="F43" s="197"/>
      <c r="G43" s="12"/>
      <c r="H43" s="198"/>
      <c r="I43" s="197"/>
      <c r="J43" s="12"/>
      <c r="K43" s="204"/>
      <c r="L43" s="204"/>
      <c r="M43" s="204">
        <f t="shared" ref="M43" si="2">SUM(D43,G43,J43)</f>
        <v>0</v>
      </c>
      <c r="R43" s="331"/>
    </row>
    <row r="44" spans="1:19" s="88" customFormat="1" ht="12.6" customHeight="1">
      <c r="A44" s="812" t="s">
        <v>1473</v>
      </c>
      <c r="C44" s="197"/>
      <c r="D44" s="12"/>
      <c r="E44" s="198"/>
      <c r="F44" s="197"/>
      <c r="G44" s="12"/>
      <c r="H44" s="198"/>
      <c r="I44" s="197"/>
      <c r="J44" s="12"/>
      <c r="K44" s="204"/>
      <c r="L44" s="204"/>
      <c r="M44" s="204">
        <f t="shared" ref="M44" si="3">SUM(D44,G44,J44)</f>
        <v>0</v>
      </c>
      <c r="R44" s="331"/>
    </row>
    <row r="45" spans="1:19" s="88" customFormat="1" ht="12.6" customHeight="1">
      <c r="A45" s="265"/>
      <c r="C45" s="197"/>
      <c r="D45" s="851"/>
      <c r="E45" s="270"/>
      <c r="F45" s="197"/>
      <c r="G45" s="851"/>
      <c r="H45" s="270"/>
      <c r="I45" s="197"/>
      <c r="J45" s="851"/>
      <c r="K45" s="270"/>
      <c r="L45" s="270"/>
      <c r="M45" s="270"/>
      <c r="N45" s="194" t="s">
        <v>47</v>
      </c>
      <c r="R45" s="331"/>
    </row>
    <row r="46" spans="1:19" s="88" customFormat="1" ht="12.6" customHeight="1">
      <c r="A46" s="88" t="s">
        <v>1425</v>
      </c>
      <c r="C46" s="199"/>
      <c r="D46" s="200">
        <f>SUM(D25:D45)</f>
        <v>0</v>
      </c>
      <c r="E46" s="198"/>
      <c r="F46" s="200"/>
      <c r="G46" s="200">
        <f>SUM(G25:G45)</f>
        <v>0</v>
      </c>
      <c r="H46" s="198"/>
      <c r="I46" s="200"/>
      <c r="J46" s="200">
        <f>SUM(J25:J45)</f>
        <v>0</v>
      </c>
      <c r="K46" s="198"/>
      <c r="L46" s="200"/>
      <c r="M46" s="200">
        <f>SUM(M25:M45)</f>
        <v>0</v>
      </c>
      <c r="N46" s="911">
        <f>(SUM(M24:M45))-D46-G46-J46</f>
        <v>0</v>
      </c>
    </row>
    <row r="47" spans="1:19" s="88" customFormat="1" ht="12.6" customHeight="1">
      <c r="A47" s="205"/>
      <c r="D47" s="161"/>
      <c r="G47" s="161"/>
      <c r="J47" s="161"/>
      <c r="M47" s="161"/>
      <c r="R47" s="265"/>
    </row>
    <row r="48" spans="1:19" s="88" customFormat="1" ht="12.6" customHeight="1">
      <c r="A48" s="206" t="s">
        <v>676</v>
      </c>
      <c r="D48" s="196" t="s">
        <v>313</v>
      </c>
      <c r="G48" s="196" t="s">
        <v>313</v>
      </c>
      <c r="J48" s="196" t="s">
        <v>314</v>
      </c>
      <c r="M48" s="161"/>
    </row>
    <row r="49" spans="1:19" s="88" customFormat="1" ht="12.6" customHeight="1">
      <c r="A49" s="88" t="s">
        <v>635</v>
      </c>
      <c r="D49" s="12"/>
      <c r="G49" s="12"/>
      <c r="J49" s="12"/>
      <c r="M49" s="198">
        <f t="shared" ref="M49:M58" si="4">SUM(D49,G49,J49)</f>
        <v>0</v>
      </c>
      <c r="R49" s="206"/>
    </row>
    <row r="50" spans="1:19" s="88" customFormat="1" ht="12.6" customHeight="1">
      <c r="A50" s="88" t="s">
        <v>608</v>
      </c>
      <c r="D50" s="12"/>
      <c r="G50" s="12"/>
      <c r="J50" s="12"/>
      <c r="M50" s="198">
        <f t="shared" si="4"/>
        <v>0</v>
      </c>
    </row>
    <row r="51" spans="1:19" s="88" customFormat="1" ht="12.6" customHeight="1">
      <c r="A51" s="88" t="s">
        <v>637</v>
      </c>
      <c r="D51" s="12"/>
      <c r="G51" s="12"/>
      <c r="J51" s="12"/>
      <c r="M51" s="198">
        <f t="shared" si="4"/>
        <v>0</v>
      </c>
    </row>
    <row r="52" spans="1:19" s="88" customFormat="1" ht="12.6" customHeight="1">
      <c r="A52" s="88" t="s">
        <v>638</v>
      </c>
      <c r="D52" s="12"/>
      <c r="G52" s="12"/>
      <c r="J52" s="12"/>
      <c r="M52" s="198">
        <f t="shared" si="4"/>
        <v>0</v>
      </c>
    </row>
    <row r="53" spans="1:19" s="88" customFormat="1" ht="12.6" customHeight="1">
      <c r="A53" s="206" t="s">
        <v>607</v>
      </c>
      <c r="D53" s="12"/>
      <c r="G53" s="12"/>
      <c r="J53" s="12"/>
      <c r="M53" s="198">
        <f t="shared" si="4"/>
        <v>0</v>
      </c>
      <c r="R53" s="265"/>
    </row>
    <row r="54" spans="1:19" s="88" customFormat="1" ht="12.6" customHeight="1">
      <c r="A54" s="206" t="s">
        <v>724</v>
      </c>
      <c r="D54" s="270"/>
      <c r="G54" s="270"/>
      <c r="J54" s="270"/>
      <c r="M54" s="198"/>
      <c r="R54" s="265"/>
    </row>
    <row r="55" spans="1:19" s="88" customFormat="1" ht="12.6" customHeight="1">
      <c r="A55" s="265" t="s">
        <v>550</v>
      </c>
      <c r="D55" s="12"/>
      <c r="G55" s="12"/>
      <c r="J55" s="12"/>
      <c r="M55" s="198">
        <f t="shared" si="4"/>
        <v>0</v>
      </c>
      <c r="R55" s="265"/>
    </row>
    <row r="56" spans="1:19" s="88" customFormat="1" ht="12.6" customHeight="1">
      <c r="A56" s="265" t="s">
        <v>810</v>
      </c>
      <c r="D56" s="12"/>
      <c r="G56" s="12"/>
      <c r="J56" s="12"/>
      <c r="M56" s="198">
        <f t="shared" si="4"/>
        <v>0</v>
      </c>
      <c r="R56" s="331"/>
    </row>
    <row r="57" spans="1:19" s="88" customFormat="1" ht="12.6" customHeight="1">
      <c r="A57" s="265" t="s">
        <v>199</v>
      </c>
      <c r="D57" s="12"/>
      <c r="G57" s="12"/>
      <c r="J57" s="12"/>
      <c r="M57" s="198">
        <f t="shared" si="4"/>
        <v>0</v>
      </c>
      <c r="R57" s="331"/>
    </row>
    <row r="58" spans="1:19" s="88" customFormat="1" ht="12.6" customHeight="1">
      <c r="A58" s="265" t="s">
        <v>200</v>
      </c>
      <c r="D58" s="12"/>
      <c r="E58" s="198"/>
      <c r="G58" s="12"/>
      <c r="H58" s="198"/>
      <c r="J58" s="12"/>
      <c r="K58" s="198"/>
      <c r="L58" s="204"/>
      <c r="M58" s="198">
        <f t="shared" si="4"/>
        <v>0</v>
      </c>
      <c r="N58" s="194" t="s">
        <v>47</v>
      </c>
      <c r="R58" s="331"/>
    </row>
    <row r="59" spans="1:19" s="88" customFormat="1" ht="6.75" customHeight="1">
      <c r="A59" s="265"/>
      <c r="C59" s="197"/>
      <c r="D59" s="322"/>
      <c r="E59" s="270"/>
      <c r="F59" s="270"/>
      <c r="G59" s="322"/>
      <c r="H59" s="270"/>
      <c r="I59" s="270"/>
      <c r="J59" s="322"/>
      <c r="K59" s="204"/>
      <c r="L59" s="204"/>
      <c r="M59" s="204"/>
      <c r="R59" s="331"/>
    </row>
    <row r="60" spans="1:19" s="88" customFormat="1" ht="12.6" customHeight="1">
      <c r="A60" s="265" t="s">
        <v>1427</v>
      </c>
      <c r="C60" s="199"/>
      <c r="D60" s="200">
        <f>SUM(D49:D58)</f>
        <v>0</v>
      </c>
      <c r="E60" s="198"/>
      <c r="F60" s="200"/>
      <c r="G60" s="200">
        <f>SUM(G49:G58)</f>
        <v>0</v>
      </c>
      <c r="H60" s="198"/>
      <c r="I60" s="200"/>
      <c r="J60" s="200">
        <f>SUM(J49:J58)</f>
        <v>0</v>
      </c>
      <c r="K60" s="198"/>
      <c r="L60" s="200"/>
      <c r="M60" s="200">
        <f>SUM(M49:M58)</f>
        <v>0</v>
      </c>
      <c r="N60" s="911">
        <f>(SUM(M48:M59))-D60-G60-J60</f>
        <v>0</v>
      </c>
      <c r="R60" s="931"/>
    </row>
    <row r="61" spans="1:19" s="88" customFormat="1" ht="12.6" customHeight="1">
      <c r="A61" s="265"/>
      <c r="D61" s="270"/>
      <c r="E61" s="834"/>
      <c r="G61" s="270"/>
      <c r="H61" s="834"/>
      <c r="J61" s="270"/>
      <c r="K61" s="834"/>
      <c r="L61" s="270"/>
      <c r="M61" s="834"/>
      <c r="R61" s="331"/>
    </row>
    <row r="62" spans="1:19" s="88" customFormat="1" ht="12.6" customHeight="1">
      <c r="A62" s="206" t="s">
        <v>1426</v>
      </c>
      <c r="D62" s="270"/>
      <c r="E62" s="834"/>
      <c r="G62" s="270"/>
      <c r="H62" s="834"/>
      <c r="J62" s="270"/>
      <c r="K62" s="198"/>
      <c r="L62" s="204"/>
      <c r="M62" s="198"/>
      <c r="R62" s="331"/>
    </row>
    <row r="63" spans="1:19" s="88" customFormat="1" ht="12.6" customHeight="1">
      <c r="A63" s="812" t="s">
        <v>1424</v>
      </c>
      <c r="C63" s="197"/>
      <c r="D63" s="270"/>
      <c r="E63" s="270"/>
      <c r="F63" s="270"/>
      <c r="G63" s="270"/>
      <c r="H63" s="270"/>
      <c r="I63" s="270"/>
      <c r="J63" s="270"/>
      <c r="K63" s="204"/>
      <c r="L63" s="204"/>
      <c r="M63" s="204"/>
      <c r="R63" s="265"/>
      <c r="S63" s="19"/>
    </row>
    <row r="64" spans="1:19" s="88" customFormat="1" ht="12.6" customHeight="1">
      <c r="A64" s="88" t="s">
        <v>1557</v>
      </c>
      <c r="C64" s="197"/>
      <c r="D64" s="12"/>
      <c r="E64" s="198"/>
      <c r="F64" s="198"/>
      <c r="G64" s="12"/>
      <c r="H64" s="198"/>
      <c r="I64" s="198"/>
      <c r="J64" s="12"/>
      <c r="K64" s="204"/>
      <c r="L64" s="204"/>
      <c r="M64" s="204">
        <f t="shared" ref="M64:M69" si="5">SUM(D64,G64,J64)</f>
        <v>0</v>
      </c>
      <c r="R64" s="331"/>
      <c r="S64" s="19"/>
    </row>
    <row r="65" spans="1:19" s="88" customFormat="1" ht="12.6" customHeight="1">
      <c r="A65" s="88" t="s">
        <v>1392</v>
      </c>
      <c r="C65" s="197"/>
      <c r="D65" s="12"/>
      <c r="E65" s="198"/>
      <c r="F65" s="198"/>
      <c r="G65" s="12"/>
      <c r="H65" s="198"/>
      <c r="I65" s="198"/>
      <c r="J65" s="12"/>
      <c r="K65" s="204"/>
      <c r="L65" s="204"/>
      <c r="M65" s="204">
        <f t="shared" si="5"/>
        <v>0</v>
      </c>
      <c r="R65" s="331"/>
      <c r="S65" s="19"/>
    </row>
    <row r="66" spans="1:19" s="88" customFormat="1" ht="12.6" customHeight="1">
      <c r="A66" s="88" t="s">
        <v>1393</v>
      </c>
      <c r="C66" s="197"/>
      <c r="D66" s="12"/>
      <c r="E66" s="198"/>
      <c r="F66" s="198"/>
      <c r="G66" s="12"/>
      <c r="H66" s="198"/>
      <c r="I66" s="198"/>
      <c r="J66" s="12"/>
      <c r="K66" s="204"/>
      <c r="L66" s="204"/>
      <c r="M66" s="204">
        <f t="shared" si="5"/>
        <v>0</v>
      </c>
      <c r="R66" s="331"/>
      <c r="S66" s="19"/>
    </row>
    <row r="67" spans="1:19" s="88" customFormat="1" ht="12.6" customHeight="1">
      <c r="A67" s="88" t="s">
        <v>1558</v>
      </c>
      <c r="C67" s="197"/>
      <c r="D67" s="12"/>
      <c r="E67" s="198"/>
      <c r="F67" s="198"/>
      <c r="G67" s="12"/>
      <c r="H67" s="198"/>
      <c r="I67" s="198"/>
      <c r="J67" s="12"/>
      <c r="K67" s="204"/>
      <c r="L67" s="204"/>
      <c r="M67" s="204">
        <f t="shared" si="5"/>
        <v>0</v>
      </c>
      <c r="R67" s="331"/>
    </row>
    <row r="68" spans="1:19" s="88" customFormat="1" ht="12.6" customHeight="1">
      <c r="A68" s="88" t="s">
        <v>1559</v>
      </c>
      <c r="C68" s="197"/>
      <c r="D68" s="12"/>
      <c r="E68" s="198"/>
      <c r="F68" s="197"/>
      <c r="G68" s="12"/>
      <c r="H68" s="198"/>
      <c r="I68" s="197"/>
      <c r="J68" s="12"/>
      <c r="K68" s="204"/>
      <c r="L68" s="204"/>
      <c r="M68" s="204">
        <f t="shared" si="5"/>
        <v>0</v>
      </c>
      <c r="R68" s="331"/>
    </row>
    <row r="69" spans="1:19" s="88" customFormat="1" ht="12.6" customHeight="1">
      <c r="A69" s="812" t="s">
        <v>1556</v>
      </c>
      <c r="C69" s="197"/>
      <c r="D69" s="12"/>
      <c r="E69" s="198"/>
      <c r="F69" s="197"/>
      <c r="G69" s="12"/>
      <c r="H69" s="198"/>
      <c r="I69" s="197"/>
      <c r="J69" s="12"/>
      <c r="K69" s="204"/>
      <c r="L69" s="204"/>
      <c r="M69" s="204">
        <f t="shared" si="5"/>
        <v>0</v>
      </c>
      <c r="N69" s="194"/>
      <c r="R69" s="331"/>
    </row>
    <row r="70" spans="1:19" s="88" customFormat="1" ht="12.6" customHeight="1">
      <c r="A70" s="812" t="s">
        <v>1474</v>
      </c>
      <c r="C70" s="197"/>
      <c r="D70" s="12"/>
      <c r="E70" s="198"/>
      <c r="F70" s="197"/>
      <c r="G70" s="12"/>
      <c r="H70" s="198"/>
      <c r="I70" s="197"/>
      <c r="J70" s="12"/>
      <c r="K70" s="204"/>
      <c r="L70" s="204"/>
      <c r="M70" s="204">
        <f t="shared" ref="M70" si="6">SUM(D70,G70,J70)</f>
        <v>0</v>
      </c>
      <c r="N70" s="194" t="s">
        <v>47</v>
      </c>
      <c r="R70" s="331"/>
    </row>
    <row r="71" spans="1:19" s="88" customFormat="1" ht="6.75" customHeight="1">
      <c r="A71" s="265"/>
      <c r="C71" s="197"/>
      <c r="D71" s="322"/>
      <c r="E71" s="270"/>
      <c r="F71" s="270"/>
      <c r="G71" s="322"/>
      <c r="H71" s="270"/>
      <c r="I71" s="270"/>
      <c r="J71" s="322"/>
      <c r="K71" s="204"/>
      <c r="L71" s="204"/>
      <c r="M71" s="204"/>
      <c r="R71" s="331"/>
    </row>
    <row r="72" spans="1:19" s="88" customFormat="1" ht="12.6" customHeight="1">
      <c r="A72" s="88" t="s">
        <v>1429</v>
      </c>
      <c r="C72" s="199"/>
      <c r="D72" s="200">
        <f>SUM(D64:D71)</f>
        <v>0</v>
      </c>
      <c r="E72" s="198"/>
      <c r="F72" s="200"/>
      <c r="G72" s="200">
        <f>SUM(G64:G71)</f>
        <v>0</v>
      </c>
      <c r="H72" s="198"/>
      <c r="I72" s="200"/>
      <c r="J72" s="200">
        <f>SUM(J64:J71)</f>
        <v>0</v>
      </c>
      <c r="K72" s="198"/>
      <c r="L72" s="200"/>
      <c r="M72" s="200">
        <f>SUM(M64:M71)</f>
        <v>0</v>
      </c>
      <c r="N72" s="911">
        <f>(SUM(M63:M71))-D72-G72-J72</f>
        <v>0</v>
      </c>
      <c r="R72" s="331"/>
    </row>
    <row r="73" spans="1:19" s="88" customFormat="1" ht="12.6" customHeight="1">
      <c r="C73" s="197"/>
      <c r="D73" s="204"/>
      <c r="E73" s="198"/>
      <c r="F73" s="204"/>
      <c r="G73" s="204"/>
      <c r="H73" s="198"/>
      <c r="I73" s="204"/>
      <c r="J73" s="204"/>
      <c r="K73" s="198"/>
      <c r="L73" s="204"/>
      <c r="M73" s="204"/>
      <c r="N73" s="194"/>
      <c r="R73" s="331"/>
    </row>
    <row r="74" spans="1:19" s="88" customFormat="1" ht="12.6" customHeight="1">
      <c r="A74" s="812" t="s">
        <v>1428</v>
      </c>
      <c r="C74" s="199"/>
      <c r="D74" s="200">
        <f>D60+D72</f>
        <v>0</v>
      </c>
      <c r="E74" s="198"/>
      <c r="F74" s="200"/>
      <c r="G74" s="200">
        <f>G60+G72</f>
        <v>0</v>
      </c>
      <c r="H74" s="198"/>
      <c r="I74" s="200"/>
      <c r="J74" s="200">
        <f>J60+J72</f>
        <v>0</v>
      </c>
      <c r="K74" s="198"/>
      <c r="L74" s="200"/>
      <c r="M74" s="200">
        <f>M60+M72</f>
        <v>0</v>
      </c>
      <c r="N74" s="194"/>
      <c r="R74" s="331"/>
    </row>
    <row r="75" spans="1:19" s="88" customFormat="1" ht="12.6" customHeight="1">
      <c r="A75" s="88" t="s">
        <v>171</v>
      </c>
      <c r="D75" s="161"/>
      <c r="G75" s="161"/>
      <c r="J75" s="161"/>
      <c r="M75" s="161"/>
      <c r="N75" s="194" t="s">
        <v>47</v>
      </c>
    </row>
    <row r="76" spans="1:19" s="88" customFormat="1" ht="12.6" customHeight="1">
      <c r="A76" s="88" t="s">
        <v>1390</v>
      </c>
      <c r="C76" s="207"/>
      <c r="D76" s="208">
        <f>D46-D74</f>
        <v>0</v>
      </c>
      <c r="F76" s="207"/>
      <c r="G76" s="208">
        <f>G46-G74</f>
        <v>0</v>
      </c>
      <c r="I76" s="207"/>
      <c r="J76" s="208">
        <f>J46-J74</f>
        <v>0</v>
      </c>
      <c r="L76" s="207"/>
      <c r="M76" s="201">
        <f>IF((M46-M74)='Component Unit Template'!K116,(M46-M74),"ERROR")</f>
        <v>0</v>
      </c>
      <c r="N76" s="202">
        <f>(SUM(M46-M74))-'Component Unit Template'!K116</f>
        <v>0</v>
      </c>
    </row>
    <row r="77" spans="1:19" s="88" customFormat="1" ht="12.6" customHeight="1">
      <c r="D77" s="161"/>
      <c r="G77" s="161"/>
      <c r="J77" s="161"/>
      <c r="M77" s="209"/>
    </row>
    <row r="78" spans="1:19" s="88" customFormat="1" ht="12.6" customHeight="1" thickBot="1">
      <c r="A78" s="88" t="s">
        <v>172</v>
      </c>
      <c r="C78" s="210" t="s">
        <v>668</v>
      </c>
      <c r="D78" s="211">
        <f>SUM(D22,D76)</f>
        <v>0</v>
      </c>
      <c r="F78" s="210" t="s">
        <v>668</v>
      </c>
      <c r="G78" s="211">
        <f>SUM(G22,G76)</f>
        <v>0</v>
      </c>
      <c r="I78" s="210" t="s">
        <v>668</v>
      </c>
      <c r="J78" s="211">
        <f>SUM(J22,J76)</f>
        <v>0</v>
      </c>
      <c r="L78" s="210" t="s">
        <v>668</v>
      </c>
      <c r="M78" s="211">
        <f>SUM(M22,M76)</f>
        <v>0</v>
      </c>
      <c r="N78" s="912"/>
    </row>
    <row r="79" spans="1:19" s="88" customFormat="1" ht="12.6" customHeight="1" thickTop="1">
      <c r="D79" s="161"/>
      <c r="G79" s="212"/>
      <c r="J79" s="161"/>
      <c r="M79" s="161"/>
    </row>
    <row r="80" spans="1:19" s="88" customFormat="1" ht="12.6" customHeight="1">
      <c r="A80" s="87" t="s">
        <v>432</v>
      </c>
      <c r="D80" s="161"/>
      <c r="G80" s="161"/>
      <c r="J80" s="161"/>
      <c r="M80" s="161"/>
    </row>
    <row r="81" spans="1:13" s="88" customFormat="1" ht="12.6" customHeight="1">
      <c r="D81" s="161"/>
      <c r="G81" s="161"/>
      <c r="J81" s="161"/>
      <c r="M81" s="161"/>
    </row>
    <row r="82" spans="1:13" s="88" customFormat="1" ht="12.6" customHeight="1">
      <c r="D82" s="196" t="s">
        <v>664</v>
      </c>
      <c r="G82" s="196" t="s">
        <v>495</v>
      </c>
      <c r="J82" s="161"/>
      <c r="M82" s="161"/>
    </row>
    <row r="83" spans="1:13" s="88" customFormat="1" ht="12.6" customHeight="1">
      <c r="D83" s="213" t="str">
        <f>C14</f>
        <v>July 1, 2023</v>
      </c>
      <c r="G83" s="196" t="s">
        <v>496</v>
      </c>
      <c r="J83" s="196" t="s">
        <v>497</v>
      </c>
      <c r="M83" s="161"/>
    </row>
    <row r="84" spans="1:13" s="88" customFormat="1" ht="12.6" customHeight="1">
      <c r="C84" s="207"/>
      <c r="D84" s="214" t="s">
        <v>494</v>
      </c>
      <c r="F84" s="207"/>
      <c r="G84" s="214" t="s">
        <v>664</v>
      </c>
      <c r="I84" s="207"/>
      <c r="J84" s="214" t="s">
        <v>498</v>
      </c>
      <c r="M84" s="161"/>
    </row>
    <row r="85" spans="1:13" s="88" customFormat="1" ht="12.6" customHeight="1">
      <c r="A85" s="812" t="s">
        <v>667</v>
      </c>
      <c r="D85" s="161"/>
      <c r="G85" s="161"/>
      <c r="J85" s="161"/>
      <c r="M85" s="161"/>
    </row>
    <row r="86" spans="1:13" s="88" customFormat="1" ht="12.6" customHeight="1">
      <c r="A86" s="88" t="s">
        <v>633</v>
      </c>
      <c r="C86" s="88" t="s">
        <v>668</v>
      </c>
      <c r="D86" s="215">
        <f>D16</f>
        <v>0</v>
      </c>
      <c r="F86" s="88" t="s">
        <v>668</v>
      </c>
      <c r="G86" s="215" t="str">
        <f>IF(ISNA(HLOOKUP($B$2,'Prior Year Amounts'!$K$258:$GB$320,4,FALSE)),"",(HLOOKUP($B$2,'Prior Year Amounts'!$K$258:$GB$320,4,FALSE)))</f>
        <v/>
      </c>
      <c r="I86" s="88" t="s">
        <v>668</v>
      </c>
      <c r="J86" s="215" t="str">
        <f>IF(ISERR(D86-G86),"",(D86-G86))</f>
        <v/>
      </c>
      <c r="M86" s="161"/>
    </row>
    <row r="87" spans="1:13" s="88" customFormat="1" ht="12.6" customHeight="1">
      <c r="A87" s="88" t="s">
        <v>809</v>
      </c>
      <c r="D87" s="215">
        <f>D17</f>
        <v>0</v>
      </c>
      <c r="G87" s="215" t="str">
        <f>IF(ISNA(HLOOKUP($B$2,'Prior Year Amounts'!$K$258:$GB$320,5,FALSE)),"",(HLOOKUP($B$2,'Prior Year Amounts'!$K$258:$GB$320,5,FALSE)))</f>
        <v/>
      </c>
      <c r="J87" s="215" t="str">
        <f>IF(ISERR(D87-G87),"",(D87-G87))</f>
        <v/>
      </c>
      <c r="M87" s="161"/>
    </row>
    <row r="88" spans="1:13" s="88" customFormat="1" ht="12.6" customHeight="1">
      <c r="A88" s="88" t="s">
        <v>1430</v>
      </c>
      <c r="D88" s="215">
        <f>D18</f>
        <v>0</v>
      </c>
      <c r="G88" s="215" t="str">
        <f>IF(ISNA(HLOOKUP($B$2,'Prior Year Amounts'!$K$258:$GB$320,6,FALSE)),"",(HLOOKUP($B$2,'Prior Year Amounts'!$K$258:$GB$320,6,FALSE)))</f>
        <v/>
      </c>
      <c r="J88" s="215" t="str">
        <f>IF(ISERR(D88-G88),"",(D88-G88))</f>
        <v/>
      </c>
      <c r="M88" s="161"/>
    </row>
    <row r="89" spans="1:13" s="88" customFormat="1" ht="12.6" hidden="1" customHeight="1">
      <c r="A89" s="206" t="s">
        <v>32</v>
      </c>
      <c r="D89" s="215">
        <f>D19</f>
        <v>0</v>
      </c>
      <c r="G89" s="215" t="str">
        <f>IF(ISNA(HLOOKUP($B$2,'Prior Year Amounts'!$K$258:$GB$320,4,FALSE)),"",(HLOOKUP($B$2,'Prior Year Amounts'!$K$258:$GB$320,4,FALSE)))</f>
        <v/>
      </c>
      <c r="J89" s="215" t="str">
        <f>IF(ISERR(D89-G89),"",(D89-G89))</f>
        <v/>
      </c>
      <c r="M89" s="161"/>
    </row>
    <row r="90" spans="1:13" s="88" customFormat="1" ht="24.75" customHeight="1" thickBot="1">
      <c r="A90" s="350" t="s">
        <v>725</v>
      </c>
      <c r="C90" s="246"/>
      <c r="D90" s="241">
        <f>D20</f>
        <v>0</v>
      </c>
      <c r="F90" s="246"/>
      <c r="G90" s="241" t="str">
        <f>IF(ISNA(HLOOKUP($B$2,'Prior Year Amounts'!$K$258:$GB$320,8,FALSE)),"",(HLOOKUP($B$2,'Prior Year Amounts'!$K$258:$GB$320,8,FALSE)))</f>
        <v/>
      </c>
      <c r="I90" s="246"/>
      <c r="J90" s="241" t="str">
        <f>IF(ISERR(D90-G90),"",(D90-G90))</f>
        <v/>
      </c>
      <c r="M90" s="161"/>
    </row>
    <row r="91" spans="1:13" s="88" customFormat="1" ht="12.6" customHeight="1">
      <c r="A91" s="88" t="s">
        <v>673</v>
      </c>
      <c r="C91" s="207"/>
      <c r="D91" s="208">
        <f>SUM(D86:D88,D90)</f>
        <v>0</v>
      </c>
      <c r="F91" s="207"/>
      <c r="G91" s="208">
        <f>SUM(G86:G88,G90)</f>
        <v>0</v>
      </c>
      <c r="I91" s="207"/>
      <c r="J91" s="208">
        <f>SUM(J86:J88,J90)</f>
        <v>0</v>
      </c>
      <c r="M91" s="161"/>
    </row>
    <row r="92" spans="1:13" s="88" customFormat="1" ht="12.6" customHeight="1">
      <c r="D92" s="161"/>
      <c r="G92" s="161"/>
      <c r="J92" s="161"/>
      <c r="M92" s="161"/>
    </row>
    <row r="93" spans="1:13" s="88" customFormat="1" ht="12.6" customHeight="1">
      <c r="A93" s="88" t="s">
        <v>1389</v>
      </c>
      <c r="D93" s="161"/>
      <c r="G93" s="161"/>
      <c r="J93" s="161"/>
      <c r="M93" s="161"/>
    </row>
    <row r="94" spans="1:13" s="88" customFormat="1" ht="12.6" customHeight="1">
      <c r="A94" s="88" t="s">
        <v>635</v>
      </c>
      <c r="D94" s="215">
        <f>D25</f>
        <v>0</v>
      </c>
      <c r="G94" s="215" t="str">
        <f>IF(ISNA(HLOOKUP($B$2,'Prior Year Amounts'!$K$258:$GB$320,13,FALSE)),"",(HLOOKUP($B$2,'Prior Year Amounts'!$K$258:$GB$320,13,FALSE)))</f>
        <v/>
      </c>
      <c r="J94" s="215" t="str">
        <f t="shared" ref="J94:J102" si="7">IF(ISERR(D94-G94),"",(D94-G94))</f>
        <v/>
      </c>
      <c r="M94" s="161"/>
    </row>
    <row r="95" spans="1:13" s="88" customFormat="1" ht="12.6" customHeight="1">
      <c r="A95" s="88" t="s">
        <v>636</v>
      </c>
      <c r="D95" s="215">
        <f>D26</f>
        <v>0</v>
      </c>
      <c r="G95" s="215" t="str">
        <f>IF(ISNA(HLOOKUP($B$2,'Prior Year Amounts'!$K$258:$GB$320,14,FALSE)),"",(HLOOKUP($B$2,'Prior Year Amounts'!$K$258:$GB$320,14,FALSE)))</f>
        <v/>
      </c>
      <c r="J95" s="215" t="str">
        <f t="shared" si="7"/>
        <v/>
      </c>
      <c r="M95" s="161"/>
    </row>
    <row r="96" spans="1:13" s="88" customFormat="1" ht="12.6" customHeight="1">
      <c r="A96" s="88" t="s">
        <v>637</v>
      </c>
      <c r="D96" s="215">
        <f>D27</f>
        <v>0</v>
      </c>
      <c r="G96" s="215" t="str">
        <f>IF(ISNA(HLOOKUP($B$2,'Prior Year Amounts'!$K$258:$GB$320,15,FALSE)),"",(HLOOKUP($B$2,'Prior Year Amounts'!$K$258:$GB$320,15,FALSE)))</f>
        <v/>
      </c>
      <c r="J96" s="215" t="str">
        <f t="shared" si="7"/>
        <v/>
      </c>
      <c r="M96" s="161"/>
    </row>
    <row r="97" spans="1:13" s="88" customFormat="1" ht="12.6" customHeight="1">
      <c r="A97" s="88" t="s">
        <v>638</v>
      </c>
      <c r="D97" s="215">
        <f>D28</f>
        <v>0</v>
      </c>
      <c r="G97" s="215" t="str">
        <f>IF(ISNA(HLOOKUP($B$2,'Prior Year Amounts'!$K$258:$GB$320,16,FALSE)),"",(HLOOKUP($B$2,'Prior Year Amounts'!$K$258:$GB$320,16,FALSE)))</f>
        <v/>
      </c>
      <c r="J97" s="215" t="str">
        <f t="shared" si="7"/>
        <v/>
      </c>
      <c r="M97" s="161"/>
    </row>
    <row r="98" spans="1:13" s="88" customFormat="1" ht="12.6" customHeight="1">
      <c r="A98" s="206" t="s">
        <v>607</v>
      </c>
      <c r="D98" s="215">
        <f>D29</f>
        <v>0</v>
      </c>
      <c r="G98" s="215" t="str">
        <f>IF(ISNA(HLOOKUP($B$2,'Prior Year Amounts'!$K$258:$GB$320,17,FALSE)),"",(HLOOKUP($B$2,'Prior Year Amounts'!$K$258:$GB$320,17,FALSE)))</f>
        <v/>
      </c>
      <c r="J98" s="215" t="str">
        <f t="shared" si="7"/>
        <v/>
      </c>
      <c r="M98" s="161"/>
    </row>
    <row r="99" spans="1:13" s="88" customFormat="1" ht="12" customHeight="1">
      <c r="A99" s="206" t="s">
        <v>724</v>
      </c>
      <c r="D99" s="253"/>
      <c r="G99" s="253"/>
      <c r="J99" s="253"/>
      <c r="M99" s="161"/>
    </row>
    <row r="100" spans="1:13" s="88" customFormat="1" ht="12.6" customHeight="1">
      <c r="A100" s="265" t="s">
        <v>550</v>
      </c>
      <c r="D100" s="215">
        <f>D31</f>
        <v>0</v>
      </c>
      <c r="G100" s="215" t="str">
        <f>IF(ISNA(HLOOKUP($B$2,'Prior Year Amounts'!$K$258:$GB$320,19,FALSE)),"",(HLOOKUP($B$2,'Prior Year Amounts'!$K$258:$GB$320,19,FALSE)))</f>
        <v/>
      </c>
      <c r="J100" s="215" t="str">
        <f t="shared" si="7"/>
        <v/>
      </c>
      <c r="M100" s="161"/>
    </row>
    <row r="101" spans="1:13" s="88" customFormat="1" ht="12.6" customHeight="1">
      <c r="A101" s="265" t="s">
        <v>810</v>
      </c>
      <c r="D101" s="215">
        <f>D32</f>
        <v>0</v>
      </c>
      <c r="G101" s="215" t="str">
        <f>IF(ISNA(HLOOKUP($B$2,'Prior Year Amounts'!$K$258:$GB$320,20,FALSE)),"",(HLOOKUP($B$2,'Prior Year Amounts'!$K$258:$GB$320,20,FALSE)))</f>
        <v/>
      </c>
      <c r="J101" s="215" t="str">
        <f t="shared" si="7"/>
        <v/>
      </c>
      <c r="M101" s="161"/>
    </row>
    <row r="102" spans="1:13" s="88" customFormat="1" ht="12.6" customHeight="1">
      <c r="A102" s="265" t="s">
        <v>199</v>
      </c>
      <c r="D102" s="215">
        <f>D33</f>
        <v>0</v>
      </c>
      <c r="G102" s="215" t="str">
        <f>IF(ISNA(HLOOKUP($B$2,'Prior Year Amounts'!$K$258:$GB$320,21,FALSE)),"",(HLOOKUP($B$2,'Prior Year Amounts'!$K$258:$GB$320,21,FALSE)))</f>
        <v/>
      </c>
      <c r="J102" s="215" t="str">
        <f t="shared" si="7"/>
        <v/>
      </c>
      <c r="M102" s="161"/>
    </row>
    <row r="103" spans="1:13" s="88" customFormat="1" ht="12.6" customHeight="1">
      <c r="A103" s="265" t="s">
        <v>200</v>
      </c>
      <c r="D103" s="215">
        <f>D34</f>
        <v>0</v>
      </c>
      <c r="G103" s="215" t="str">
        <f>IF(ISNA(HLOOKUP($B$2,'Prior Year Amounts'!$K$258:$GB$320,22,FALSE)),"",(HLOOKUP($B$2,'Prior Year Amounts'!$K$258:$GB$320,22,FALSE)))</f>
        <v/>
      </c>
      <c r="J103" s="215" t="str">
        <f t="shared" ref="J103" si="8">IF(ISERR(D103-G103),"",(D103-G103))</f>
        <v/>
      </c>
      <c r="M103" s="161"/>
    </row>
    <row r="104" spans="1:13" s="88" customFormat="1" ht="12.6" customHeight="1">
      <c r="A104" s="206" t="s">
        <v>1475</v>
      </c>
      <c r="D104" s="267"/>
      <c r="G104" s="267"/>
      <c r="J104" s="267"/>
      <c r="M104" s="161"/>
    </row>
    <row r="105" spans="1:13" s="88" customFormat="1" ht="12.6" customHeight="1">
      <c r="A105" s="88" t="s">
        <v>1557</v>
      </c>
      <c r="D105" s="215">
        <f>D37</f>
        <v>0</v>
      </c>
      <c r="G105" s="215" t="str">
        <f>IF(ISNA(HLOOKUP($B$2,'Prior Year Amounts'!$K$258:$GB$320,24,FALSE)),"",(HLOOKUP($B$2,'Prior Year Amounts'!$K$258:$GB$320,24,FALSE)))</f>
        <v/>
      </c>
      <c r="J105" s="215" t="str">
        <f t="shared" ref="J105:J111" si="9">IF(ISERR(D105-G105),"",(D105-G105))</f>
        <v/>
      </c>
      <c r="M105" s="161"/>
    </row>
    <row r="106" spans="1:13" s="88" customFormat="1" ht="12.6" customHeight="1">
      <c r="A106" s="88" t="s">
        <v>1392</v>
      </c>
      <c r="D106" s="215">
        <f>D38</f>
        <v>0</v>
      </c>
      <c r="G106" s="215" t="str">
        <f>IF(ISNA(HLOOKUP($B$2,'Prior Year Amounts'!$K$258:$GB$320,25,FALSE)),"",(HLOOKUP($B$2,'Prior Year Amounts'!$K$258:$GB$320,25,FALSE)))</f>
        <v/>
      </c>
      <c r="J106" s="215" t="str">
        <f t="shared" si="9"/>
        <v/>
      </c>
      <c r="M106" s="161"/>
    </row>
    <row r="107" spans="1:13" s="88" customFormat="1" ht="12.6" customHeight="1">
      <c r="A107" s="88" t="s">
        <v>1393</v>
      </c>
      <c r="D107" s="215">
        <f>D39</f>
        <v>0</v>
      </c>
      <c r="G107" s="215" t="str">
        <f>IF(ISNA(HLOOKUP($B$2,'Prior Year Amounts'!$K$258:$GB$320,26,FALSE)),"",(HLOOKUP($B$2,'Prior Year Amounts'!$K$258:$GB$320,26,FALSE)))</f>
        <v/>
      </c>
      <c r="J107" s="215" t="str">
        <f t="shared" si="9"/>
        <v/>
      </c>
      <c r="M107" s="161"/>
    </row>
    <row r="108" spans="1:13" s="88" customFormat="1" ht="12.6" customHeight="1">
      <c r="A108" s="88" t="s">
        <v>1558</v>
      </c>
      <c r="D108" s="215">
        <f>D40</f>
        <v>0</v>
      </c>
      <c r="G108" s="215" t="str">
        <f>IF(ISNA(HLOOKUP($B$2,'Prior Year Amounts'!$K$258:$GB$320,27,FALSE)),"",(HLOOKUP($B$2,'Prior Year Amounts'!$K$258:$GB$320,27,FALSE)))</f>
        <v/>
      </c>
      <c r="J108" s="215" t="str">
        <f t="shared" si="9"/>
        <v/>
      </c>
      <c r="M108" s="161"/>
    </row>
    <row r="109" spans="1:13" s="88" customFormat="1" ht="12.6" customHeight="1">
      <c r="A109" s="88" t="s">
        <v>1559</v>
      </c>
      <c r="D109" s="215">
        <f>D41</f>
        <v>0</v>
      </c>
      <c r="G109" s="215" t="str">
        <f>IF(ISNA(HLOOKUP($B$2,'Prior Year Amounts'!$K$258:$GB$320,28,FALSE)),"",(HLOOKUP($B$2,'Prior Year Amounts'!$K$258:$GB$320,28,FALSE)))</f>
        <v/>
      </c>
      <c r="J109" s="215" t="str">
        <f t="shared" si="9"/>
        <v/>
      </c>
      <c r="M109" s="161"/>
    </row>
    <row r="110" spans="1:13" s="88" customFormat="1" ht="12.6" customHeight="1">
      <c r="A110" s="812" t="s">
        <v>1556</v>
      </c>
      <c r="D110" s="215">
        <f>D43</f>
        <v>0</v>
      </c>
      <c r="G110" s="215" t="str">
        <f>IF(ISNA(HLOOKUP($B$2,'Prior Year Amounts'!$K$258:$GB$320,29,FALSE)),"",(HLOOKUP($B$2,'Prior Year Amounts'!$K$258:$GB$320,29,FALSE)))</f>
        <v/>
      </c>
      <c r="J110" s="215" t="str">
        <f t="shared" ref="J110" si="10">IF(ISERR(D110-G110),"",(D110-G110))</f>
        <v/>
      </c>
      <c r="M110" s="161"/>
    </row>
    <row r="111" spans="1:13" s="88" customFormat="1" ht="12.6" customHeight="1">
      <c r="A111" s="812" t="s">
        <v>1474</v>
      </c>
      <c r="D111" s="215">
        <f>D44</f>
        <v>0</v>
      </c>
      <c r="G111" s="215" t="str">
        <f>IF(ISNA(HLOOKUP($B$2,'Prior Year Amounts'!$K$258:$GB$320,30,FALSE)),"",(HLOOKUP($B$2,'Prior Year Amounts'!$K$258:$GB$320,30,FALSE)))</f>
        <v/>
      </c>
      <c r="J111" s="215" t="str">
        <f t="shared" si="9"/>
        <v/>
      </c>
      <c r="M111" s="161"/>
    </row>
    <row r="112" spans="1:13" s="88" customFormat="1" ht="12.6" customHeight="1" thickBot="1">
      <c r="A112" s="265"/>
      <c r="C112" s="246"/>
      <c r="D112" s="852"/>
      <c r="F112" s="246"/>
      <c r="G112" s="853"/>
      <c r="I112" s="246"/>
      <c r="J112" s="852"/>
      <c r="M112" s="161"/>
    </row>
    <row r="113" spans="1:13" s="88" customFormat="1" ht="12.6" customHeight="1">
      <c r="A113" s="88" t="s">
        <v>1425</v>
      </c>
      <c r="C113" s="207"/>
      <c r="D113" s="208">
        <f>SUM(D94:D112)</f>
        <v>0</v>
      </c>
      <c r="F113" s="207"/>
      <c r="G113" s="208">
        <f>SUM(G94:G112)</f>
        <v>0</v>
      </c>
      <c r="I113" s="207"/>
      <c r="J113" s="208">
        <f>SUM(J94:J112)</f>
        <v>0</v>
      </c>
      <c r="M113" s="161"/>
    </row>
    <row r="114" spans="1:13" s="88" customFormat="1" ht="12.6" customHeight="1">
      <c r="A114" s="205"/>
      <c r="D114" s="161"/>
      <c r="G114" s="161"/>
      <c r="J114" s="161"/>
      <c r="M114" s="161"/>
    </row>
    <row r="115" spans="1:13" s="88" customFormat="1" ht="12.6" customHeight="1">
      <c r="A115" s="206" t="s">
        <v>676</v>
      </c>
      <c r="D115" s="161"/>
      <c r="G115" s="161"/>
      <c r="J115" s="161"/>
      <c r="M115" s="161"/>
    </row>
    <row r="116" spans="1:13" s="88" customFormat="1" ht="12.6" customHeight="1">
      <c r="A116" s="88" t="s">
        <v>635</v>
      </c>
      <c r="D116" s="215">
        <f>D49</f>
        <v>0</v>
      </c>
      <c r="G116" s="215" t="str">
        <f>IF(ISNA(HLOOKUP($B$2,'Prior Year Amounts'!$K$258:$GB$320,35,FALSE)),"",(HLOOKUP($B$2,'Prior Year Amounts'!$K$258:$GB$320,35,FALSE)))</f>
        <v/>
      </c>
      <c r="J116" s="215" t="str">
        <f t="shared" ref="J116:J125" si="11">IF(ISERR(D116-G116),"",(D116-G116))</f>
        <v/>
      </c>
      <c r="M116" s="161"/>
    </row>
    <row r="117" spans="1:13" s="88" customFormat="1" ht="12.6" customHeight="1">
      <c r="A117" s="88" t="s">
        <v>636</v>
      </c>
      <c r="D117" s="215">
        <f>D50</f>
        <v>0</v>
      </c>
      <c r="G117" s="215" t="str">
        <f>IF(ISNA(HLOOKUP($B$2,'Prior Year Amounts'!$K$258:$GB$320,36,FALSE)),"",(HLOOKUP($B$2,'Prior Year Amounts'!$K$258:$GB$320,36,FALSE)))</f>
        <v/>
      </c>
      <c r="J117" s="215" t="str">
        <f t="shared" si="11"/>
        <v/>
      </c>
      <c r="M117" s="161"/>
    </row>
    <row r="118" spans="1:13" s="88" customFormat="1" ht="12.6" customHeight="1">
      <c r="A118" s="88" t="s">
        <v>637</v>
      </c>
      <c r="D118" s="215">
        <f>D51</f>
        <v>0</v>
      </c>
      <c r="G118" s="215" t="str">
        <f>IF(ISNA(HLOOKUP($B$2,'Prior Year Amounts'!$K$258:$GB$320,37,FALSE)),"",(HLOOKUP($B$2,'Prior Year Amounts'!$K$258:$GB$320,37,FALSE)))</f>
        <v/>
      </c>
      <c r="J118" s="215" t="str">
        <f t="shared" si="11"/>
        <v/>
      </c>
      <c r="M118" s="161"/>
    </row>
    <row r="119" spans="1:13" s="88" customFormat="1" ht="12.6" customHeight="1">
      <c r="A119" s="88" t="s">
        <v>638</v>
      </c>
      <c r="D119" s="215">
        <f>D52</f>
        <v>0</v>
      </c>
      <c r="G119" s="215" t="str">
        <f>IF(ISNA(HLOOKUP($B$2,'Prior Year Amounts'!$K$258:$GB$320,38,FALSE)),"",(HLOOKUP($B$2,'Prior Year Amounts'!$K$258:$GB$320,38,FALSE)))</f>
        <v/>
      </c>
      <c r="J119" s="215" t="str">
        <f t="shared" si="11"/>
        <v/>
      </c>
      <c r="M119" s="161"/>
    </row>
    <row r="120" spans="1:13" s="88" customFormat="1" ht="12.6" customHeight="1">
      <c r="A120" s="206" t="s">
        <v>607</v>
      </c>
      <c r="D120" s="215">
        <f>D53</f>
        <v>0</v>
      </c>
      <c r="G120" s="215" t="str">
        <f>IF(ISNA(HLOOKUP($B$2,'Prior Year Amounts'!$K$258:$GB$320,39,FALSE)),"",(HLOOKUP($B$2,'Prior Year Amounts'!$K$258:$GB$320,39,FALSE)))</f>
        <v/>
      </c>
      <c r="J120" s="215" t="str">
        <f t="shared" si="11"/>
        <v/>
      </c>
      <c r="M120" s="161"/>
    </row>
    <row r="121" spans="1:13" s="88" customFormat="1" ht="12.6" customHeight="1">
      <c r="A121" s="206" t="s">
        <v>724</v>
      </c>
      <c r="D121" s="267"/>
      <c r="G121" s="267"/>
      <c r="J121" s="267"/>
      <c r="M121" s="161"/>
    </row>
    <row r="122" spans="1:13" s="88" customFormat="1" ht="12.6" customHeight="1">
      <c r="A122" s="265" t="s">
        <v>550</v>
      </c>
      <c r="D122" s="215">
        <f>D55</f>
        <v>0</v>
      </c>
      <c r="G122" s="215" t="str">
        <f>IF(ISNA(HLOOKUP($B$2,'Prior Year Amounts'!$K$258:$GB$320,41,FALSE)),"",(HLOOKUP($B$2,'Prior Year Amounts'!$K$258:$GB$320,41,FALSE)))</f>
        <v/>
      </c>
      <c r="J122" s="215" t="str">
        <f t="shared" si="11"/>
        <v/>
      </c>
      <c r="M122" s="161"/>
    </row>
    <row r="123" spans="1:13" s="88" customFormat="1" ht="12.6" customHeight="1">
      <c r="A123" s="265" t="s">
        <v>810</v>
      </c>
      <c r="D123" s="215">
        <f>D56</f>
        <v>0</v>
      </c>
      <c r="G123" s="215" t="str">
        <f>IF(ISNA(HLOOKUP($B$2,'Prior Year Amounts'!$K$258:$GB$320,42,FALSE)),"",(HLOOKUP($B$2,'Prior Year Amounts'!$K$258:$GB$320,42,FALSE)))</f>
        <v/>
      </c>
      <c r="J123" s="215" t="str">
        <f t="shared" si="11"/>
        <v/>
      </c>
      <c r="M123" s="161"/>
    </row>
    <row r="124" spans="1:13" s="88" customFormat="1" ht="12.6" customHeight="1">
      <c r="A124" s="265" t="s">
        <v>199</v>
      </c>
      <c r="D124" s="215">
        <f>D57</f>
        <v>0</v>
      </c>
      <c r="G124" s="215" t="str">
        <f>IF(ISNA(HLOOKUP($B$2,'Prior Year Amounts'!$K$258:$GB$320,43,FALSE)),"",(HLOOKUP($B$2,'Prior Year Amounts'!$K$258:$GB$320,43,FALSE)))</f>
        <v/>
      </c>
      <c r="J124" s="215" t="str">
        <f t="shared" si="11"/>
        <v/>
      </c>
      <c r="M124" s="161"/>
    </row>
    <row r="125" spans="1:13" s="88" customFormat="1" ht="12.6" customHeight="1" thickBot="1">
      <c r="A125" s="265" t="s">
        <v>200</v>
      </c>
      <c r="C125" s="246"/>
      <c r="D125" s="241">
        <f>D58</f>
        <v>0</v>
      </c>
      <c r="F125" s="246"/>
      <c r="G125" s="241" t="str">
        <f>IF(ISNA(HLOOKUP($B$2,'Prior Year Amounts'!$K$258:$GB$320,44,FALSE)),"",(HLOOKUP($B$2,'Prior Year Amounts'!$K$258:$GB$320,44,FALSE)))</f>
        <v/>
      </c>
      <c r="I125" s="246"/>
      <c r="J125" s="241" t="str">
        <f t="shared" si="11"/>
        <v/>
      </c>
      <c r="M125" s="161"/>
    </row>
    <row r="126" spans="1:13" s="88" customFormat="1" ht="12.6" customHeight="1">
      <c r="A126" s="88" t="s">
        <v>170</v>
      </c>
      <c r="C126" s="207"/>
      <c r="D126" s="208">
        <f>SUM(D116:D125)</f>
        <v>0</v>
      </c>
      <c r="F126" s="207"/>
      <c r="G126" s="208">
        <f>SUM(G116:G125)</f>
        <v>0</v>
      </c>
      <c r="I126" s="207"/>
      <c r="J126" s="208">
        <f>SUM(J116:J125)</f>
        <v>0</v>
      </c>
      <c r="M126" s="161"/>
    </row>
    <row r="127" spans="1:13" s="88" customFormat="1" ht="12.6" customHeight="1">
      <c r="D127" s="267"/>
      <c r="G127" s="267"/>
      <c r="J127" s="267"/>
      <c r="M127" s="161"/>
    </row>
    <row r="128" spans="1:13" s="88" customFormat="1" ht="12.6" customHeight="1">
      <c r="A128" s="206" t="s">
        <v>1468</v>
      </c>
      <c r="D128" s="161"/>
      <c r="G128" s="161"/>
      <c r="J128" s="161"/>
      <c r="M128" s="161"/>
    </row>
    <row r="129" spans="1:13" s="88" customFormat="1" ht="12.6" customHeight="1">
      <c r="A129" s="206" t="s">
        <v>1475</v>
      </c>
      <c r="D129" s="267"/>
      <c r="G129" s="267"/>
      <c r="J129" s="267"/>
      <c r="M129" s="161"/>
    </row>
    <row r="130" spans="1:13" s="88" customFormat="1" ht="12.6" customHeight="1">
      <c r="A130" s="88" t="s">
        <v>1557</v>
      </c>
      <c r="D130" s="215">
        <f>D64</f>
        <v>0</v>
      </c>
      <c r="G130" s="215" t="str">
        <f>IF(ISNA(HLOOKUP($B$2,'Prior Year Amounts'!$K$258:$GB$320,49,FALSE)),"",(HLOOKUP($B$2,'Prior Year Amounts'!$K$258:$GB$320,49,FALSE)))</f>
        <v/>
      </c>
      <c r="J130" s="215" t="str">
        <f t="shared" ref="J130:J136" si="12">IF(ISERR(D130-G130),"",(D130-G130))</f>
        <v/>
      </c>
      <c r="M130" s="161"/>
    </row>
    <row r="131" spans="1:13" s="88" customFormat="1" ht="12.6" customHeight="1">
      <c r="A131" s="88" t="s">
        <v>1392</v>
      </c>
      <c r="D131" s="215">
        <f t="shared" ref="D131:D134" si="13">D65</f>
        <v>0</v>
      </c>
      <c r="G131" s="215" t="str">
        <f>IF(ISNA(HLOOKUP($B$2,'Prior Year Amounts'!$K$258:$GB$320,50,FALSE)),"",(HLOOKUP($B$2,'Prior Year Amounts'!$K$258:$GB$320,50,FALSE)))</f>
        <v/>
      </c>
      <c r="J131" s="215" t="str">
        <f t="shared" si="12"/>
        <v/>
      </c>
      <c r="M131" s="161"/>
    </row>
    <row r="132" spans="1:13" s="88" customFormat="1" ht="12.6" customHeight="1">
      <c r="A132" s="88" t="s">
        <v>1393</v>
      </c>
      <c r="D132" s="215">
        <f t="shared" si="13"/>
        <v>0</v>
      </c>
      <c r="G132" s="215" t="str">
        <f>IF(ISNA(HLOOKUP($B$2,'Prior Year Amounts'!$K$258:$GB$320,51,FALSE)),"",(HLOOKUP($B$2,'Prior Year Amounts'!$K$258:$GB$320,51,FALSE)))</f>
        <v/>
      </c>
      <c r="J132" s="215" t="str">
        <f t="shared" si="12"/>
        <v/>
      </c>
      <c r="M132" s="161"/>
    </row>
    <row r="133" spans="1:13" s="88" customFormat="1" ht="12.6" customHeight="1">
      <c r="A133" s="88" t="s">
        <v>1558</v>
      </c>
      <c r="D133" s="215">
        <f t="shared" si="13"/>
        <v>0</v>
      </c>
      <c r="G133" s="215" t="str">
        <f>IF(ISNA(HLOOKUP($B$2,'Prior Year Amounts'!$K$258:$GB$320,52,FALSE)),"",(HLOOKUP($B$2,'Prior Year Amounts'!$K$258:$GB$320,52,FALSE)))</f>
        <v/>
      </c>
      <c r="J133" s="215" t="str">
        <f t="shared" si="12"/>
        <v/>
      </c>
      <c r="M133" s="161"/>
    </row>
    <row r="134" spans="1:13" s="88" customFormat="1" ht="12.6" customHeight="1">
      <c r="A134" s="88" t="s">
        <v>1559</v>
      </c>
      <c r="D134" s="215">
        <f t="shared" si="13"/>
        <v>0</v>
      </c>
      <c r="G134" s="215" t="str">
        <f>IF(ISNA(HLOOKUP($B$2,'Prior Year Amounts'!$K$258:$GB$320,53,FALSE)),"",(HLOOKUP($B$2,'Prior Year Amounts'!$K$258:$GB$320,53,FALSE)))</f>
        <v/>
      </c>
      <c r="J134" s="215" t="str">
        <f t="shared" si="12"/>
        <v/>
      </c>
      <c r="M134" s="161"/>
    </row>
    <row r="135" spans="1:13" s="88" customFormat="1" ht="12.6" customHeight="1">
      <c r="A135" s="812" t="s">
        <v>1556</v>
      </c>
      <c r="D135" s="215">
        <f>D69</f>
        <v>0</v>
      </c>
      <c r="G135" s="215" t="str">
        <f>IF(ISNA(HLOOKUP($B$2,'Prior Year Amounts'!$K$258:$GB$320,54,FALSE)),"",(HLOOKUP($B$2,'Prior Year Amounts'!$K$258:$GB$320,54,FALSE)))</f>
        <v/>
      </c>
      <c r="J135" s="215" t="str">
        <f t="shared" si="12"/>
        <v/>
      </c>
      <c r="M135" s="161"/>
    </row>
    <row r="136" spans="1:13" s="88" customFormat="1" ht="12.6" customHeight="1" thickBot="1">
      <c r="A136" s="812" t="s">
        <v>1474</v>
      </c>
      <c r="C136" s="246"/>
      <c r="D136" s="241">
        <f>D70</f>
        <v>0</v>
      </c>
      <c r="F136" s="246"/>
      <c r="G136" s="215" t="str">
        <f>IF(ISNA(HLOOKUP($B$2,'Prior Year Amounts'!$K$258:$GB$320,55,FALSE)),"",(HLOOKUP($B$2,'Prior Year Amounts'!$K$258:$GB$320,55,FALSE)))</f>
        <v/>
      </c>
      <c r="I136" s="246"/>
      <c r="J136" s="241" t="str">
        <f t="shared" si="12"/>
        <v/>
      </c>
      <c r="M136" s="161"/>
    </row>
    <row r="137" spans="1:13" s="88" customFormat="1" ht="12.6" customHeight="1">
      <c r="A137" s="88" t="s">
        <v>1429</v>
      </c>
      <c r="C137" s="207"/>
      <c r="D137" s="208">
        <f>SUM(D128:D136)</f>
        <v>0</v>
      </c>
      <c r="F137" s="207"/>
      <c r="G137" s="208">
        <f>SUM(G128:G136)</f>
        <v>0</v>
      </c>
      <c r="I137" s="207"/>
      <c r="J137" s="208">
        <f>SUM(J128:J136)</f>
        <v>0</v>
      </c>
      <c r="M137" s="161"/>
    </row>
    <row r="138" spans="1:13" s="88" customFormat="1" ht="12.6" customHeight="1">
      <c r="D138" s="267"/>
      <c r="G138" s="267"/>
      <c r="J138" s="267"/>
      <c r="M138" s="161"/>
    </row>
    <row r="139" spans="1:13" s="88" customFormat="1" ht="12.6" customHeight="1">
      <c r="A139" s="812" t="s">
        <v>1476</v>
      </c>
      <c r="C139" s="207"/>
      <c r="D139" s="208">
        <f>D126+D137</f>
        <v>0</v>
      </c>
      <c r="F139" s="207"/>
      <c r="G139" s="208">
        <f>G126+G137</f>
        <v>0</v>
      </c>
      <c r="I139" s="207"/>
      <c r="J139" s="208">
        <f>J126+J137</f>
        <v>0</v>
      </c>
      <c r="M139" s="161"/>
    </row>
    <row r="140" spans="1:13" s="88" customFormat="1" ht="12.6" customHeight="1">
      <c r="A140" s="88" t="s">
        <v>171</v>
      </c>
      <c r="D140" s="212"/>
      <c r="G140" s="161"/>
      <c r="J140" s="161"/>
      <c r="M140" s="161"/>
    </row>
    <row r="141" spans="1:13" s="88" customFormat="1" ht="12.6" customHeight="1">
      <c r="A141" s="88" t="s">
        <v>1390</v>
      </c>
      <c r="C141" s="207"/>
      <c r="D141" s="208">
        <f>D113-D139</f>
        <v>0</v>
      </c>
      <c r="F141" s="207"/>
      <c r="G141" s="208">
        <f>G113-G139</f>
        <v>0</v>
      </c>
      <c r="I141" s="207"/>
      <c r="J141" s="208">
        <f>J113-J139</f>
        <v>0</v>
      </c>
      <c r="M141" s="161"/>
    </row>
    <row r="142" spans="1:13" s="88" customFormat="1" ht="12.6" customHeight="1">
      <c r="D142" s="161"/>
      <c r="G142" s="161"/>
      <c r="J142" s="161"/>
      <c r="M142" s="161"/>
    </row>
    <row r="143" spans="1:13" s="88" customFormat="1" ht="12.6" customHeight="1" thickBot="1">
      <c r="A143" s="88" t="s">
        <v>172</v>
      </c>
      <c r="C143" s="210" t="s">
        <v>668</v>
      </c>
      <c r="D143" s="211">
        <f>SUM(D91,D141)</f>
        <v>0</v>
      </c>
      <c r="F143" s="210" t="s">
        <v>668</v>
      </c>
      <c r="G143" s="211">
        <f>SUM(G91,G141)</f>
        <v>0</v>
      </c>
      <c r="I143" s="210" t="s">
        <v>668</v>
      </c>
      <c r="J143" s="211">
        <f>SUM(J91,J141)</f>
        <v>0</v>
      </c>
      <c r="M143" s="161"/>
    </row>
    <row r="144" spans="1:13" s="88" customFormat="1" ht="12.6" customHeight="1" thickTop="1">
      <c r="D144" s="161"/>
      <c r="G144" s="161"/>
      <c r="J144" s="161"/>
      <c r="M144" s="161"/>
    </row>
    <row r="145" spans="1:13" s="88" customFormat="1" ht="12.6" customHeight="1">
      <c r="A145" s="88" t="s">
        <v>435</v>
      </c>
      <c r="D145" s="161"/>
      <c r="G145" s="7"/>
      <c r="J145" s="216"/>
      <c r="M145" s="161"/>
    </row>
    <row r="146" spans="1:13" s="88" customFormat="1">
      <c r="A146" s="1354" t="str">
        <f>IF(OR(J143&gt;0,J143&lt;0),"Answer Required","N/A")</f>
        <v>N/A</v>
      </c>
      <c r="B146" s="1355"/>
      <c r="C146" s="1355"/>
      <c r="D146" s="1355"/>
      <c r="E146" s="1355"/>
      <c r="F146" s="1355"/>
      <c r="G146" s="1355"/>
      <c r="H146" s="1355"/>
      <c r="I146" s="1355"/>
      <c r="J146" s="1356"/>
      <c r="M146" s="161"/>
    </row>
    <row r="147" spans="1:13" s="88" customFormat="1">
      <c r="A147" s="1357"/>
      <c r="B147" s="1358"/>
      <c r="C147" s="1358"/>
      <c r="D147" s="1358"/>
      <c r="E147" s="1358"/>
      <c r="F147" s="1358"/>
      <c r="G147" s="1358"/>
      <c r="H147" s="1358"/>
      <c r="I147" s="1358"/>
      <c r="J147" s="1359"/>
      <c r="M147" s="7"/>
    </row>
    <row r="148" spans="1:13" s="88" customFormat="1">
      <c r="A148" s="1357"/>
      <c r="B148" s="1358"/>
      <c r="C148" s="1358"/>
      <c r="D148" s="1358"/>
      <c r="E148" s="1358"/>
      <c r="F148" s="1358"/>
      <c r="G148" s="1358"/>
      <c r="H148" s="1358"/>
      <c r="I148" s="1358"/>
      <c r="J148" s="1359"/>
      <c r="M148" s="161"/>
    </row>
    <row r="149" spans="1:13" s="88" customFormat="1">
      <c r="A149" s="1357"/>
      <c r="B149" s="1358"/>
      <c r="C149" s="1358"/>
      <c r="D149" s="1358"/>
      <c r="E149" s="1358"/>
      <c r="F149" s="1358"/>
      <c r="G149" s="1358"/>
      <c r="H149" s="1358"/>
      <c r="I149" s="1358"/>
      <c r="J149" s="1359"/>
      <c r="M149" s="161"/>
    </row>
    <row r="150" spans="1:13" s="88" customFormat="1">
      <c r="A150" s="1357"/>
      <c r="B150" s="1358"/>
      <c r="C150" s="1358"/>
      <c r="D150" s="1358"/>
      <c r="E150" s="1358"/>
      <c r="F150" s="1358"/>
      <c r="G150" s="1358"/>
      <c r="H150" s="1358"/>
      <c r="I150" s="1358"/>
      <c r="J150" s="1359"/>
      <c r="M150" s="161"/>
    </row>
    <row r="151" spans="1:13" s="88" customFormat="1">
      <c r="A151" s="1357"/>
      <c r="B151" s="1358"/>
      <c r="C151" s="1358"/>
      <c r="D151" s="1358"/>
      <c r="E151" s="1358"/>
      <c r="F151" s="1358"/>
      <c r="G151" s="1358"/>
      <c r="H151" s="1358"/>
      <c r="I151" s="1358"/>
      <c r="J151" s="1359"/>
      <c r="M151" s="161"/>
    </row>
    <row r="152" spans="1:13" s="88" customFormat="1">
      <c r="A152" s="1357"/>
      <c r="B152" s="1358"/>
      <c r="C152" s="1358"/>
      <c r="D152" s="1358"/>
      <c r="E152" s="1358"/>
      <c r="F152" s="1358"/>
      <c r="G152" s="1358"/>
      <c r="H152" s="1358"/>
      <c r="I152" s="1358"/>
      <c r="J152" s="1359"/>
      <c r="M152" s="161"/>
    </row>
    <row r="153" spans="1:13" s="88" customFormat="1">
      <c r="A153" s="1360"/>
      <c r="B153" s="1361"/>
      <c r="C153" s="1361"/>
      <c r="D153" s="1361"/>
      <c r="E153" s="1361"/>
      <c r="F153" s="1361"/>
      <c r="G153" s="1361"/>
      <c r="H153" s="1361"/>
      <c r="I153" s="1361"/>
      <c r="J153" s="1362"/>
      <c r="M153" s="161"/>
    </row>
    <row r="154" spans="1:13" s="88" customFormat="1" ht="12.6" customHeight="1">
      <c r="A154" s="217"/>
      <c r="B154" s="217"/>
      <c r="C154" s="217"/>
      <c r="D154" s="217"/>
      <c r="E154" s="217"/>
      <c r="F154" s="217"/>
      <c r="G154" s="217"/>
      <c r="H154" s="217"/>
      <c r="I154" s="217"/>
      <c r="J154" s="217"/>
      <c r="M154" s="161"/>
    </row>
    <row r="155" spans="1:13" s="88" customFormat="1" ht="12.6" customHeight="1">
      <c r="A155" s="87" t="s">
        <v>184</v>
      </c>
      <c r="B155" s="217"/>
      <c r="C155" s="217"/>
      <c r="D155" s="217"/>
      <c r="E155" s="217"/>
      <c r="F155" s="217"/>
      <c r="G155" s="217"/>
      <c r="H155" s="217"/>
      <c r="I155" s="217"/>
      <c r="J155" s="217"/>
      <c r="M155" s="161"/>
    </row>
    <row r="156" spans="1:13" s="88" customFormat="1" ht="12.6" customHeight="1">
      <c r="D156" s="161"/>
      <c r="G156" s="161"/>
      <c r="J156" s="161"/>
      <c r="M156" s="161"/>
    </row>
    <row r="157" spans="1:13" s="88" customFormat="1" ht="12.6" customHeight="1">
      <c r="A157" s="218" t="s">
        <v>110</v>
      </c>
      <c r="D157" s="161"/>
      <c r="G157" s="161"/>
      <c r="J157" s="146" t="s">
        <v>833</v>
      </c>
      <c r="M157" s="161"/>
    </row>
    <row r="158" spans="1:13" s="88" customFormat="1" ht="12.6" customHeight="1">
      <c r="A158" s="88" t="s">
        <v>111</v>
      </c>
      <c r="D158" s="161"/>
      <c r="J158" s="1033" t="s">
        <v>752</v>
      </c>
      <c r="M158" s="161"/>
    </row>
    <row r="159" spans="1:13" s="88" customFormat="1" ht="12.6" customHeight="1">
      <c r="D159" s="161"/>
      <c r="G159" s="2" t="s">
        <v>124</v>
      </c>
      <c r="J159" s="216"/>
      <c r="M159" s="161"/>
    </row>
    <row r="160" spans="1:13" s="88" customFormat="1" ht="12.6" customHeight="1">
      <c r="A160" s="88" t="s">
        <v>112</v>
      </c>
      <c r="D160" s="161"/>
      <c r="G160" s="2" t="s">
        <v>123</v>
      </c>
      <c r="J160" s="216"/>
      <c r="M160" s="161"/>
    </row>
    <row r="161" spans="1:13" s="88" customFormat="1" ht="12.6" customHeight="1">
      <c r="A161" s="1342" t="s">
        <v>1814</v>
      </c>
      <c r="B161" s="1343"/>
      <c r="C161" s="1343"/>
      <c r="D161" s="1343"/>
      <c r="E161" s="1343"/>
      <c r="F161" s="1343"/>
      <c r="G161" s="1343"/>
      <c r="H161" s="1343"/>
      <c r="I161" s="1343"/>
      <c r="J161" s="1344"/>
      <c r="M161" s="161"/>
    </row>
    <row r="162" spans="1:13" s="88" customFormat="1" ht="12.6" customHeight="1">
      <c r="A162" s="1345"/>
      <c r="B162" s="1346"/>
      <c r="C162" s="1346"/>
      <c r="D162" s="1346"/>
      <c r="E162" s="1346"/>
      <c r="F162" s="1346"/>
      <c r="G162" s="1346"/>
      <c r="H162" s="1346"/>
      <c r="I162" s="1346"/>
      <c r="J162" s="1347"/>
      <c r="M162" s="161"/>
    </row>
    <row r="163" spans="1:13" s="88" customFormat="1" ht="12.6" customHeight="1">
      <c r="A163" s="1345"/>
      <c r="B163" s="1346"/>
      <c r="C163" s="1346"/>
      <c r="D163" s="1346"/>
      <c r="E163" s="1346"/>
      <c r="F163" s="1346"/>
      <c r="G163" s="1346"/>
      <c r="H163" s="1346"/>
      <c r="I163" s="1346"/>
      <c r="J163" s="1347"/>
      <c r="M163" s="161"/>
    </row>
    <row r="164" spans="1:13" s="88" customFormat="1" ht="12.6" customHeight="1">
      <c r="A164" s="1345"/>
      <c r="B164" s="1346"/>
      <c r="C164" s="1346"/>
      <c r="D164" s="1346"/>
      <c r="E164" s="1346"/>
      <c r="F164" s="1346"/>
      <c r="G164" s="1346"/>
      <c r="H164" s="1346"/>
      <c r="I164" s="1346"/>
      <c r="J164" s="1347"/>
      <c r="M164" s="161"/>
    </row>
    <row r="165" spans="1:13" s="88" customFormat="1" ht="12.6" customHeight="1">
      <c r="A165" s="1345"/>
      <c r="B165" s="1346"/>
      <c r="C165" s="1346"/>
      <c r="D165" s="1346"/>
      <c r="E165" s="1346"/>
      <c r="F165" s="1346"/>
      <c r="G165" s="1346"/>
      <c r="H165" s="1346"/>
      <c r="I165" s="1346"/>
      <c r="J165" s="1347"/>
      <c r="M165" s="161"/>
    </row>
    <row r="166" spans="1:13" s="88" customFormat="1" ht="12.6" customHeight="1">
      <c r="A166" s="1345"/>
      <c r="B166" s="1346"/>
      <c r="C166" s="1346"/>
      <c r="D166" s="1346"/>
      <c r="E166" s="1346"/>
      <c r="F166" s="1346"/>
      <c r="G166" s="1346"/>
      <c r="H166" s="1346"/>
      <c r="I166" s="1346"/>
      <c r="J166" s="1347"/>
      <c r="M166" s="161"/>
    </row>
    <row r="167" spans="1:13" s="88" customFormat="1" ht="12.6" customHeight="1">
      <c r="A167" s="1345"/>
      <c r="B167" s="1346"/>
      <c r="C167" s="1346"/>
      <c r="D167" s="1346"/>
      <c r="E167" s="1346"/>
      <c r="F167" s="1346"/>
      <c r="G167" s="1346"/>
      <c r="H167" s="1346"/>
      <c r="I167" s="1346"/>
      <c r="J167" s="1347"/>
      <c r="M167" s="161"/>
    </row>
    <row r="168" spans="1:13" s="88" customFormat="1" ht="12.6" customHeight="1">
      <c r="A168" s="1345"/>
      <c r="B168" s="1346"/>
      <c r="C168" s="1346"/>
      <c r="D168" s="1346"/>
      <c r="E168" s="1346"/>
      <c r="F168" s="1346"/>
      <c r="G168" s="1346"/>
      <c r="H168" s="1346"/>
      <c r="I168" s="1346"/>
      <c r="J168" s="1347"/>
      <c r="M168" s="161"/>
    </row>
    <row r="169" spans="1:13" s="88" customFormat="1" ht="12.6" customHeight="1">
      <c r="A169" s="1348"/>
      <c r="B169" s="1349"/>
      <c r="C169" s="1349"/>
      <c r="D169" s="1349"/>
      <c r="E169" s="1349"/>
      <c r="F169" s="1349"/>
      <c r="G169" s="1349"/>
      <c r="H169" s="1349"/>
      <c r="I169" s="1349"/>
      <c r="J169" s="1350"/>
      <c r="M169" s="161"/>
    </row>
    <row r="170" spans="1:13" s="88" customFormat="1" ht="12.6" customHeight="1">
      <c r="A170" s="1348"/>
      <c r="B170" s="1349"/>
      <c r="C170" s="1349"/>
      <c r="D170" s="1349"/>
      <c r="E170" s="1349"/>
      <c r="F170" s="1349"/>
      <c r="G170" s="1349"/>
      <c r="H170" s="1349"/>
      <c r="I170" s="1349"/>
      <c r="J170" s="1350"/>
      <c r="M170" s="161"/>
    </row>
    <row r="171" spans="1:13" s="88" customFormat="1" ht="12.6" customHeight="1">
      <c r="A171" s="1348"/>
      <c r="B171" s="1349"/>
      <c r="C171" s="1349"/>
      <c r="D171" s="1349"/>
      <c r="E171" s="1349"/>
      <c r="F171" s="1349"/>
      <c r="G171" s="1349"/>
      <c r="H171" s="1349"/>
      <c r="I171" s="1349"/>
      <c r="J171" s="1350"/>
      <c r="M171" s="161"/>
    </row>
    <row r="172" spans="1:13" s="88" customFormat="1" ht="277.5" customHeight="1">
      <c r="A172" s="1351"/>
      <c r="B172" s="1352"/>
      <c r="C172" s="1352"/>
      <c r="D172" s="1352"/>
      <c r="E172" s="1352"/>
      <c r="F172" s="1352"/>
      <c r="G172" s="1352"/>
      <c r="H172" s="1352"/>
      <c r="I172" s="1352"/>
      <c r="J172" s="1353"/>
      <c r="M172" s="161"/>
    </row>
    <row r="173" spans="1:13" s="88" customFormat="1" ht="12.6" customHeight="1">
      <c r="D173" s="161"/>
      <c r="G173" s="161"/>
      <c r="J173" s="161"/>
      <c r="M173" s="161"/>
    </row>
    <row r="174" spans="1:13" s="88" customFormat="1" ht="12.6" customHeight="1">
      <c r="D174" s="161"/>
      <c r="G174" s="161"/>
      <c r="J174" s="161"/>
      <c r="M174" s="161"/>
    </row>
    <row r="175" spans="1:13" s="88" customFormat="1">
      <c r="A175" s="1371" t="str">
        <f>IF($J$158="No","Answer Required","N/A")</f>
        <v>N/A</v>
      </c>
      <c r="B175" s="1372"/>
      <c r="C175" s="1372"/>
      <c r="D175" s="1372"/>
      <c r="E175" s="1372"/>
      <c r="F175" s="1372"/>
      <c r="G175" s="1372"/>
      <c r="H175" s="1372"/>
      <c r="I175" s="1372"/>
      <c r="J175" s="1373"/>
      <c r="M175" s="161"/>
    </row>
    <row r="176" spans="1:13" s="88" customFormat="1">
      <c r="A176" s="1374"/>
      <c r="B176" s="1375"/>
      <c r="C176" s="1375"/>
      <c r="D176" s="1375"/>
      <c r="E176" s="1375"/>
      <c r="F176" s="1375"/>
      <c r="G176" s="1375"/>
      <c r="H176" s="1375"/>
      <c r="I176" s="1375"/>
      <c r="J176" s="1376"/>
      <c r="M176" s="161"/>
    </row>
    <row r="177" spans="1:13" s="88" customFormat="1">
      <c r="A177" s="1374"/>
      <c r="B177" s="1375"/>
      <c r="C177" s="1375"/>
      <c r="D177" s="1375"/>
      <c r="E177" s="1375"/>
      <c r="F177" s="1375"/>
      <c r="G177" s="1375"/>
      <c r="H177" s="1375"/>
      <c r="I177" s="1375"/>
      <c r="J177" s="1376"/>
      <c r="M177" s="161"/>
    </row>
    <row r="178" spans="1:13" s="88" customFormat="1">
      <c r="A178" s="1374"/>
      <c r="B178" s="1375"/>
      <c r="C178" s="1375"/>
      <c r="D178" s="1375"/>
      <c r="E178" s="1375"/>
      <c r="F178" s="1375"/>
      <c r="G178" s="1375"/>
      <c r="H178" s="1375"/>
      <c r="I178" s="1375"/>
      <c r="J178" s="1376"/>
      <c r="M178" s="161"/>
    </row>
    <row r="179" spans="1:13" s="88" customFormat="1">
      <c r="A179" s="1377"/>
      <c r="B179" s="1378"/>
      <c r="C179" s="1378"/>
      <c r="D179" s="1378"/>
      <c r="E179" s="1378"/>
      <c r="F179" s="1378"/>
      <c r="G179" s="1378"/>
      <c r="H179" s="1378"/>
      <c r="I179" s="1378"/>
      <c r="J179" s="1379"/>
      <c r="M179" s="161"/>
    </row>
    <row r="180" spans="1:13" s="88" customFormat="1" ht="12.6" customHeight="1">
      <c r="A180" s="219"/>
      <c r="B180" s="220"/>
      <c r="C180" s="220"/>
      <c r="D180" s="221"/>
      <c r="E180" s="220"/>
      <c r="F180" s="220"/>
      <c r="G180" s="221"/>
      <c r="H180" s="220"/>
      <c r="I180" s="220"/>
      <c r="J180" s="222"/>
      <c r="M180" s="161"/>
    </row>
    <row r="181" spans="1:13" s="88" customFormat="1" ht="12.6" customHeight="1">
      <c r="A181" s="854" t="s">
        <v>109</v>
      </c>
      <c r="D181" s="89"/>
      <c r="J181" s="906" t="s">
        <v>126</v>
      </c>
      <c r="M181" s="161"/>
    </row>
    <row r="182" spans="1:13" s="88" customFormat="1" ht="12.6" customHeight="1">
      <c r="A182" s="841" t="s">
        <v>1440</v>
      </c>
      <c r="B182" s="88" t="s">
        <v>633</v>
      </c>
      <c r="D182" s="89"/>
      <c r="J182" s="11"/>
      <c r="M182" s="161"/>
    </row>
    <row r="183" spans="1:13" s="88" customFormat="1" ht="12.6" customHeight="1">
      <c r="A183" s="223"/>
      <c r="B183" s="88" t="s">
        <v>809</v>
      </c>
      <c r="D183" s="89"/>
      <c r="J183" s="11"/>
      <c r="M183" s="161"/>
    </row>
    <row r="184" spans="1:13" s="88" customFormat="1" ht="12.6" customHeight="1">
      <c r="A184" s="223"/>
      <c r="B184" s="88" t="s">
        <v>1423</v>
      </c>
      <c r="D184" s="89"/>
      <c r="J184" s="11"/>
      <c r="M184" s="161"/>
    </row>
    <row r="185" spans="1:13" s="88" customFormat="1" ht="12.6" hidden="1" customHeight="1">
      <c r="A185" s="223"/>
      <c r="B185" s="88" t="s">
        <v>31</v>
      </c>
      <c r="D185" s="89"/>
      <c r="J185" s="11"/>
      <c r="M185" s="161"/>
    </row>
    <row r="186" spans="1:13" s="88" customFormat="1" ht="12.6" customHeight="1">
      <c r="A186" s="223"/>
      <c r="B186" s="88" t="s">
        <v>1439</v>
      </c>
      <c r="D186" s="89"/>
      <c r="J186" s="11"/>
      <c r="M186" s="161"/>
    </row>
    <row r="187" spans="1:13" s="88" customFormat="1" ht="12.6" customHeight="1">
      <c r="A187" s="223"/>
      <c r="D187" s="89"/>
      <c r="J187" s="906"/>
      <c r="M187" s="161"/>
    </row>
    <row r="188" spans="1:13" s="88" customFormat="1" ht="12.6" customHeight="1">
      <c r="A188" s="841" t="s">
        <v>1562</v>
      </c>
      <c r="B188" s="88" t="s">
        <v>635</v>
      </c>
      <c r="D188" s="89"/>
      <c r="J188" s="11"/>
      <c r="M188" s="161"/>
    </row>
    <row r="189" spans="1:13" s="88" customFormat="1" ht="12.6" customHeight="1">
      <c r="A189" s="223"/>
      <c r="B189" s="88" t="s">
        <v>636</v>
      </c>
      <c r="D189" s="89"/>
      <c r="J189" s="11"/>
      <c r="M189" s="161"/>
    </row>
    <row r="190" spans="1:13" s="88" customFormat="1" ht="12.6" customHeight="1">
      <c r="A190" s="223"/>
      <c r="B190" s="88" t="s">
        <v>637</v>
      </c>
      <c r="D190" s="89"/>
      <c r="J190" s="11"/>
      <c r="M190" s="161"/>
    </row>
    <row r="191" spans="1:13" s="88" customFormat="1" ht="12.6" customHeight="1">
      <c r="A191" s="223"/>
      <c r="B191" s="88" t="s">
        <v>638</v>
      </c>
      <c r="D191" s="89"/>
      <c r="J191" s="11"/>
      <c r="M191" s="161"/>
    </row>
    <row r="192" spans="1:13" s="88" customFormat="1" ht="12.6" customHeight="1">
      <c r="A192" s="223"/>
      <c r="B192" s="206" t="s">
        <v>607</v>
      </c>
      <c r="D192" s="89"/>
      <c r="J192" s="11"/>
      <c r="M192" s="161"/>
    </row>
    <row r="193" spans="1:13" s="88" customFormat="1" ht="12.6" customHeight="1">
      <c r="A193" s="223"/>
      <c r="B193" s="206" t="s">
        <v>724</v>
      </c>
      <c r="D193" s="89"/>
      <c r="J193" s="907"/>
      <c r="M193" s="161"/>
    </row>
    <row r="194" spans="1:13" s="88" customFormat="1" ht="12.6" customHeight="1">
      <c r="A194" s="223"/>
      <c r="B194" s="265" t="s">
        <v>550</v>
      </c>
      <c r="D194" s="89"/>
      <c r="J194" s="11"/>
      <c r="M194" s="161"/>
    </row>
    <row r="195" spans="1:13" s="88" customFormat="1" ht="12.6" customHeight="1">
      <c r="A195" s="223"/>
      <c r="B195" s="265" t="s">
        <v>810</v>
      </c>
      <c r="D195" s="89"/>
      <c r="J195" s="11"/>
      <c r="M195" s="161"/>
    </row>
    <row r="196" spans="1:13" s="88" customFormat="1" ht="12.6" customHeight="1">
      <c r="A196" s="223"/>
      <c r="B196" s="265" t="s">
        <v>199</v>
      </c>
      <c r="D196" s="89"/>
      <c r="J196" s="11"/>
      <c r="M196" s="161"/>
    </row>
    <row r="197" spans="1:13" s="88" customFormat="1" ht="12.6" customHeight="1">
      <c r="A197" s="223"/>
      <c r="B197" s="265" t="s">
        <v>200</v>
      </c>
      <c r="D197" s="89"/>
      <c r="J197" s="11"/>
      <c r="M197" s="161"/>
    </row>
    <row r="198" spans="1:13" s="88" customFormat="1" ht="12.6" customHeight="1">
      <c r="A198" s="842"/>
      <c r="B198" s="908" t="s">
        <v>1424</v>
      </c>
      <c r="D198" s="89"/>
      <c r="J198" s="907"/>
      <c r="M198" s="161"/>
    </row>
    <row r="199" spans="1:13" s="88" customFormat="1" ht="12.6" customHeight="1">
      <c r="A199" s="223"/>
      <c r="B199" s="265" t="s">
        <v>1391</v>
      </c>
      <c r="D199" s="89"/>
      <c r="J199" s="11"/>
      <c r="M199" s="161"/>
    </row>
    <row r="200" spans="1:13" s="88" customFormat="1" ht="12.6" customHeight="1">
      <c r="A200" s="223"/>
      <c r="B200" s="265" t="s">
        <v>674</v>
      </c>
      <c r="D200" s="89"/>
      <c r="J200" s="11"/>
      <c r="M200" s="161"/>
    </row>
    <row r="201" spans="1:13" s="88" customFormat="1" ht="12.6" customHeight="1">
      <c r="A201" s="223"/>
      <c r="B201" s="265" t="s">
        <v>675</v>
      </c>
      <c r="D201" s="89"/>
      <c r="J201" s="11"/>
      <c r="M201" s="161"/>
    </row>
    <row r="202" spans="1:13" s="88" customFormat="1" ht="12.6" customHeight="1">
      <c r="A202" s="223"/>
      <c r="B202" s="265" t="s">
        <v>466</v>
      </c>
      <c r="D202" s="89"/>
      <c r="J202" s="11"/>
      <c r="M202" s="161"/>
    </row>
    <row r="203" spans="1:13" s="88" customFormat="1" ht="12.6" customHeight="1">
      <c r="A203" s="223"/>
      <c r="B203" s="265" t="s">
        <v>1416</v>
      </c>
      <c r="D203" s="89"/>
      <c r="J203" s="11"/>
      <c r="M203" s="161"/>
    </row>
    <row r="204" spans="1:13" s="88" customFormat="1" ht="12.6" customHeight="1">
      <c r="A204" s="223"/>
      <c r="B204" s="908" t="s">
        <v>1561</v>
      </c>
      <c r="D204" s="89"/>
      <c r="J204" s="11"/>
      <c r="M204" s="161"/>
    </row>
    <row r="205" spans="1:13" s="88" customFormat="1" ht="12.6" customHeight="1">
      <c r="A205" s="223"/>
      <c r="B205" s="908" t="s">
        <v>1477</v>
      </c>
      <c r="D205" s="89"/>
      <c r="J205" s="11"/>
      <c r="M205" s="161"/>
    </row>
    <row r="206" spans="1:13" s="88" customFormat="1" ht="12.6" customHeight="1">
      <c r="A206" s="836"/>
      <c r="B206" s="909"/>
      <c r="C206" s="909"/>
      <c r="D206" s="835"/>
      <c r="J206" s="224"/>
      <c r="M206" s="161"/>
    </row>
    <row r="207" spans="1:13" s="88" customFormat="1" ht="12.6" customHeight="1">
      <c r="A207" s="855" t="s">
        <v>1451</v>
      </c>
      <c r="D207" s="89"/>
      <c r="J207" s="906" t="s">
        <v>173</v>
      </c>
      <c r="M207" s="161"/>
    </row>
    <row r="208" spans="1:13" s="88" customFormat="1" ht="12.6" customHeight="1">
      <c r="A208" s="223"/>
      <c r="B208" s="88" t="s">
        <v>635</v>
      </c>
      <c r="D208" s="89"/>
      <c r="J208" s="230"/>
      <c r="M208" s="161"/>
    </row>
    <row r="209" spans="1:13" s="88" customFormat="1" ht="12.6" customHeight="1">
      <c r="A209" s="223"/>
      <c r="B209" s="88" t="s">
        <v>636</v>
      </c>
      <c r="D209" s="89"/>
      <c r="J209" s="230"/>
      <c r="M209" s="161"/>
    </row>
    <row r="210" spans="1:13" s="88" customFormat="1" ht="12.6" customHeight="1">
      <c r="A210" s="223"/>
      <c r="B210" s="88" t="s">
        <v>637</v>
      </c>
      <c r="D210" s="89"/>
      <c r="J210" s="230"/>
      <c r="M210" s="161"/>
    </row>
    <row r="211" spans="1:13" s="88" customFormat="1" ht="12.6" customHeight="1">
      <c r="A211" s="223"/>
      <c r="B211" s="88" t="s">
        <v>638</v>
      </c>
      <c r="D211" s="89"/>
      <c r="J211" s="230"/>
      <c r="M211" s="161"/>
    </row>
    <row r="212" spans="1:13" s="88" customFormat="1" ht="12.6" customHeight="1">
      <c r="A212" s="223"/>
      <c r="B212" s="206" t="s">
        <v>607</v>
      </c>
      <c r="D212" s="89"/>
      <c r="J212" s="230"/>
      <c r="M212" s="161"/>
    </row>
    <row r="213" spans="1:13" s="88" customFormat="1" ht="12.6" customHeight="1">
      <c r="A213" s="223"/>
      <c r="B213" s="206" t="s">
        <v>724</v>
      </c>
      <c r="D213" s="89"/>
      <c r="J213" s="910"/>
      <c r="M213" s="161"/>
    </row>
    <row r="214" spans="1:13" s="88" customFormat="1" ht="12.6" customHeight="1">
      <c r="A214" s="223"/>
      <c r="B214" s="265" t="s">
        <v>550</v>
      </c>
      <c r="D214" s="89"/>
      <c r="J214" s="230"/>
      <c r="M214" s="161"/>
    </row>
    <row r="215" spans="1:13" s="88" customFormat="1" ht="12.6" customHeight="1">
      <c r="A215" s="223"/>
      <c r="B215" s="265" t="s">
        <v>810</v>
      </c>
      <c r="D215" s="89"/>
      <c r="J215" s="230"/>
      <c r="M215" s="161"/>
    </row>
    <row r="216" spans="1:13" s="88" customFormat="1" ht="12.6" customHeight="1">
      <c r="A216" s="223"/>
      <c r="B216" s="265" t="s">
        <v>199</v>
      </c>
      <c r="D216" s="89"/>
      <c r="J216" s="230"/>
      <c r="M216" s="161"/>
    </row>
    <row r="217" spans="1:13">
      <c r="A217" s="225"/>
      <c r="B217" s="265" t="s">
        <v>200</v>
      </c>
      <c r="J217" s="231"/>
    </row>
    <row r="218" spans="1:13" s="88" customFormat="1" ht="12.6" customHeight="1">
      <c r="A218" s="841"/>
      <c r="B218" s="812" t="s">
        <v>1447</v>
      </c>
      <c r="D218" s="89"/>
      <c r="J218" s="907"/>
      <c r="M218" s="161"/>
    </row>
    <row r="219" spans="1:13" s="88" customFormat="1" ht="12.6" customHeight="1">
      <c r="A219" s="223"/>
      <c r="B219" s="265" t="s">
        <v>1391</v>
      </c>
      <c r="D219" s="89"/>
      <c r="J219" s="231"/>
      <c r="M219" s="161"/>
    </row>
    <row r="220" spans="1:13" s="88" customFormat="1" ht="12.6" customHeight="1">
      <c r="A220" s="223"/>
      <c r="B220" s="265" t="s">
        <v>674</v>
      </c>
      <c r="D220" s="89"/>
      <c r="J220" s="231"/>
      <c r="M220" s="161"/>
    </row>
    <row r="221" spans="1:13" s="88" customFormat="1" ht="12.6" customHeight="1">
      <c r="A221" s="223"/>
      <c r="B221" s="265" t="s">
        <v>675</v>
      </c>
      <c r="D221" s="89"/>
      <c r="J221" s="231"/>
      <c r="M221" s="161"/>
    </row>
    <row r="222" spans="1:13" s="88" customFormat="1" ht="12.6" customHeight="1">
      <c r="A222" s="223"/>
      <c r="B222" s="265" t="s">
        <v>466</v>
      </c>
      <c r="D222" s="89"/>
      <c r="J222" s="231"/>
      <c r="M222" s="161"/>
    </row>
    <row r="223" spans="1:13" s="88" customFormat="1" ht="12.6" customHeight="1">
      <c r="A223" s="223"/>
      <c r="B223" s="265" t="s">
        <v>1416</v>
      </c>
      <c r="D223" s="89"/>
      <c r="J223" s="231"/>
      <c r="M223" s="161"/>
    </row>
    <row r="224" spans="1:13" s="88" customFormat="1" ht="12.6" customHeight="1">
      <c r="A224" s="223"/>
      <c r="B224" s="908" t="s">
        <v>1561</v>
      </c>
      <c r="D224" s="89"/>
      <c r="J224" s="231"/>
      <c r="M224" s="161"/>
    </row>
    <row r="225" spans="1:13" s="88" customFormat="1" ht="12.6" customHeight="1">
      <c r="A225" s="223"/>
      <c r="B225" s="908" t="s">
        <v>1477</v>
      </c>
      <c r="D225" s="89"/>
      <c r="J225" s="231"/>
      <c r="M225" s="161"/>
    </row>
    <row r="226" spans="1:13" hidden="1">
      <c r="A226" s="227"/>
      <c r="B226" s="144"/>
      <c r="C226" s="144"/>
      <c r="D226" s="144"/>
      <c r="E226" s="144"/>
      <c r="F226" s="144"/>
      <c r="G226" s="144"/>
      <c r="H226" s="144"/>
      <c r="I226" s="144"/>
      <c r="J226" s="228"/>
    </row>
    <row r="227" spans="1:13" hidden="1">
      <c r="A227" s="225"/>
      <c r="J227" s="226"/>
    </row>
    <row r="228" spans="1:13" ht="12.75" hidden="1">
      <c r="A228" s="264" t="s">
        <v>284</v>
      </c>
      <c r="J228" s="226"/>
    </row>
    <row r="229" spans="1:13" hidden="1">
      <c r="A229" s="225"/>
      <c r="J229" s="226"/>
    </row>
    <row r="230" spans="1:13" hidden="1">
      <c r="A230" s="225" t="s">
        <v>285</v>
      </c>
      <c r="J230" s="229"/>
    </row>
    <row r="231" spans="1:13" hidden="1">
      <c r="A231" s="225"/>
      <c r="J231" s="226"/>
    </row>
    <row r="232" spans="1:13" hidden="1">
      <c r="A232" s="225" t="s">
        <v>286</v>
      </c>
      <c r="J232" s="226"/>
    </row>
    <row r="233" spans="1:13" hidden="1">
      <c r="A233" s="225"/>
      <c r="J233" s="226"/>
    </row>
    <row r="234" spans="1:13" hidden="1">
      <c r="A234" s="1380"/>
      <c r="B234" s="1381"/>
      <c r="C234" s="1381"/>
      <c r="D234" s="1381"/>
      <c r="E234" s="1381"/>
      <c r="F234" s="1381"/>
      <c r="G234" s="1381"/>
      <c r="H234" s="1381"/>
      <c r="I234" s="1381"/>
      <c r="J234" s="1382"/>
    </row>
    <row r="235" spans="1:13" hidden="1">
      <c r="A235" s="1383"/>
      <c r="B235" s="1384"/>
      <c r="C235" s="1384"/>
      <c r="D235" s="1384"/>
      <c r="E235" s="1384"/>
      <c r="F235" s="1384"/>
      <c r="G235" s="1384"/>
      <c r="H235" s="1384"/>
      <c r="I235" s="1384"/>
      <c r="J235" s="1385"/>
    </row>
    <row r="236" spans="1:13" hidden="1">
      <c r="A236" s="1383"/>
      <c r="B236" s="1384"/>
      <c r="C236" s="1384"/>
      <c r="D236" s="1384"/>
      <c r="E236" s="1384"/>
      <c r="F236" s="1384"/>
      <c r="G236" s="1384"/>
      <c r="H236" s="1384"/>
      <c r="I236" s="1384"/>
      <c r="J236" s="1385"/>
    </row>
    <row r="237" spans="1:13" hidden="1">
      <c r="A237" s="1383"/>
      <c r="B237" s="1384"/>
      <c r="C237" s="1384"/>
      <c r="D237" s="1384"/>
      <c r="E237" s="1384"/>
      <c r="F237" s="1384"/>
      <c r="G237" s="1384"/>
      <c r="H237" s="1384"/>
      <c r="I237" s="1384"/>
      <c r="J237" s="1385"/>
    </row>
    <row r="238" spans="1:13" hidden="1">
      <c r="A238" s="1383"/>
      <c r="B238" s="1384"/>
      <c r="C238" s="1384"/>
      <c r="D238" s="1384"/>
      <c r="E238" s="1384"/>
      <c r="F238" s="1384"/>
      <c r="G238" s="1384"/>
      <c r="H238" s="1384"/>
      <c r="I238" s="1384"/>
      <c r="J238" s="1385"/>
    </row>
    <row r="239" spans="1:13" hidden="1">
      <c r="A239" s="1383"/>
      <c r="B239" s="1384"/>
      <c r="C239" s="1384"/>
      <c r="D239" s="1384"/>
      <c r="E239" s="1384"/>
      <c r="F239" s="1384"/>
      <c r="G239" s="1384"/>
      <c r="H239" s="1384"/>
      <c r="I239" s="1384"/>
      <c r="J239" s="1385"/>
    </row>
    <row r="240" spans="1:13" hidden="1">
      <c r="A240" s="1386"/>
      <c r="B240" s="1387"/>
      <c r="C240" s="1387"/>
      <c r="D240" s="1387"/>
      <c r="E240" s="1387"/>
      <c r="F240" s="1387"/>
      <c r="G240" s="1387"/>
      <c r="H240" s="1387"/>
      <c r="I240" s="1387"/>
      <c r="J240" s="1388"/>
    </row>
    <row r="241" spans="1:10" hidden="1">
      <c r="A241" s="225"/>
      <c r="J241" s="226"/>
    </row>
    <row r="242" spans="1:10" hidden="1">
      <c r="A242" s="225" t="s">
        <v>287</v>
      </c>
      <c r="J242" s="226"/>
    </row>
    <row r="243" spans="1:10" hidden="1">
      <c r="A243" s="225" t="s">
        <v>288</v>
      </c>
      <c r="G243" s="2" t="s">
        <v>37</v>
      </c>
      <c r="J243" s="229"/>
    </row>
    <row r="244" spans="1:10" hidden="1">
      <c r="A244" s="225"/>
      <c r="J244" s="226"/>
    </row>
    <row r="245" spans="1:10" hidden="1">
      <c r="A245" s="225" t="s">
        <v>290</v>
      </c>
      <c r="J245" s="226"/>
    </row>
    <row r="246" spans="1:10" hidden="1">
      <c r="A246" s="225" t="s">
        <v>289</v>
      </c>
      <c r="J246" s="226"/>
    </row>
    <row r="247" spans="1:10" hidden="1">
      <c r="A247" s="225" t="s">
        <v>291</v>
      </c>
      <c r="J247" s="226"/>
    </row>
    <row r="248" spans="1:10" hidden="1">
      <c r="A248" s="225"/>
      <c r="J248" s="226"/>
    </row>
    <row r="249" spans="1:10" hidden="1">
      <c r="A249" s="225"/>
      <c r="J249" s="226"/>
    </row>
    <row r="250" spans="1:10" hidden="1">
      <c r="A250" s="225"/>
      <c r="J250" s="226"/>
    </row>
    <row r="251" spans="1:10" hidden="1">
      <c r="A251" s="225"/>
      <c r="J251" s="226"/>
    </row>
    <row r="252" spans="1:10" hidden="1">
      <c r="A252" s="225"/>
      <c r="J252" s="226"/>
    </row>
    <row r="253" spans="1:10" hidden="1">
      <c r="A253" s="225"/>
      <c r="J253" s="226"/>
    </row>
    <row r="254" spans="1:10" ht="24" customHeight="1">
      <c r="A254" s="1389" t="s">
        <v>653</v>
      </c>
      <c r="B254" s="1390"/>
      <c r="C254" s="1390"/>
      <c r="D254" s="1390"/>
      <c r="E254" s="1390"/>
      <c r="F254" s="1390"/>
      <c r="G254" s="1390"/>
      <c r="H254" s="1390"/>
      <c r="I254" s="1390"/>
      <c r="J254" s="1391"/>
    </row>
    <row r="255" spans="1:10">
      <c r="A255" s="1363"/>
      <c r="B255" s="1364"/>
      <c r="C255" s="1364"/>
      <c r="D255" s="1364"/>
      <c r="E255" s="1364"/>
      <c r="F255" s="1364"/>
      <c r="G255" s="1364"/>
      <c r="H255" s="1364"/>
      <c r="I255" s="1364"/>
      <c r="J255" s="1365"/>
    </row>
    <row r="256" spans="1:10" ht="36.75" customHeight="1">
      <c r="A256" s="1366"/>
      <c r="B256" s="1367"/>
      <c r="C256" s="1367"/>
      <c r="D256" s="1367"/>
      <c r="E256" s="1367"/>
      <c r="F256" s="1367"/>
      <c r="G256" s="1367"/>
      <c r="H256" s="1367"/>
      <c r="I256" s="1367"/>
      <c r="J256" s="1368"/>
    </row>
    <row r="259" spans="1:10" hidden="1"/>
    <row r="260" spans="1:10" hidden="1">
      <c r="A260" s="2" t="s">
        <v>527</v>
      </c>
    </row>
    <row r="261" spans="1:10" hidden="1">
      <c r="A261" s="2" t="s">
        <v>652</v>
      </c>
    </row>
    <row r="262" spans="1:10" hidden="1">
      <c r="A262" s="2" t="s">
        <v>231</v>
      </c>
    </row>
    <row r="263" spans="1:10" hidden="1">
      <c r="A263" s="341"/>
      <c r="B263" s="342"/>
      <c r="C263" s="342"/>
      <c r="D263" s="342"/>
      <c r="E263" s="342"/>
      <c r="F263" s="342"/>
      <c r="G263" s="342"/>
      <c r="H263" s="342"/>
      <c r="I263" s="342"/>
      <c r="J263" s="343"/>
    </row>
    <row r="264" spans="1:10" ht="12.75" hidden="1">
      <c r="A264" s="344" t="s">
        <v>811</v>
      </c>
      <c r="J264" s="226"/>
    </row>
    <row r="265" spans="1:10" hidden="1">
      <c r="A265" s="225"/>
      <c r="J265" s="345" t="s">
        <v>37</v>
      </c>
    </row>
    <row r="266" spans="1:10" hidden="1">
      <c r="A266" s="225" t="s">
        <v>592</v>
      </c>
      <c r="J266" s="359" t="s">
        <v>752</v>
      </c>
    </row>
    <row r="267" spans="1:10" hidden="1">
      <c r="A267" s="225"/>
      <c r="B267" s="2" t="s">
        <v>593</v>
      </c>
      <c r="G267" s="7"/>
      <c r="H267" s="88"/>
      <c r="I267" s="88"/>
      <c r="J267" s="346"/>
    </row>
    <row r="268" spans="1:10" hidden="1">
      <c r="A268" s="225"/>
      <c r="B268" s="2" t="s">
        <v>594</v>
      </c>
      <c r="G268" s="7"/>
      <c r="H268" s="88"/>
      <c r="I268" s="88"/>
      <c r="J268" s="346"/>
    </row>
    <row r="269" spans="1:10" hidden="1">
      <c r="A269" s="225"/>
      <c r="J269" s="226"/>
    </row>
    <row r="270" spans="1:10" hidden="1">
      <c r="A270" s="1333"/>
      <c r="B270" s="1334"/>
      <c r="C270" s="1334"/>
      <c r="D270" s="1334"/>
      <c r="E270" s="1334"/>
      <c r="F270" s="1334"/>
      <c r="G270" s="1334"/>
      <c r="H270" s="1334"/>
      <c r="I270" s="1334"/>
      <c r="J270" s="1335"/>
    </row>
    <row r="271" spans="1:10" hidden="1">
      <c r="A271" s="1336"/>
      <c r="B271" s="1337"/>
      <c r="C271" s="1337"/>
      <c r="D271" s="1337"/>
      <c r="E271" s="1337"/>
      <c r="F271" s="1337"/>
      <c r="G271" s="1337"/>
      <c r="H271" s="1337"/>
      <c r="I271" s="1337"/>
      <c r="J271" s="1338"/>
    </row>
    <row r="272" spans="1:10" hidden="1">
      <c r="A272" s="1336"/>
      <c r="B272" s="1337"/>
      <c r="C272" s="1337"/>
      <c r="D272" s="1337"/>
      <c r="E272" s="1337"/>
      <c r="F272" s="1337"/>
      <c r="G272" s="1337"/>
      <c r="H272" s="1337"/>
      <c r="I272" s="1337"/>
      <c r="J272" s="1338"/>
    </row>
    <row r="273" spans="1:10" hidden="1">
      <c r="A273" s="1336"/>
      <c r="B273" s="1337"/>
      <c r="C273" s="1337"/>
      <c r="D273" s="1337"/>
      <c r="E273" s="1337"/>
      <c r="F273" s="1337"/>
      <c r="G273" s="1337"/>
      <c r="H273" s="1337"/>
      <c r="I273" s="1337"/>
      <c r="J273" s="1338"/>
    </row>
    <row r="274" spans="1:10" hidden="1">
      <c r="A274" s="1336"/>
      <c r="B274" s="1337"/>
      <c r="C274" s="1337"/>
      <c r="D274" s="1337"/>
      <c r="E274" s="1337"/>
      <c r="F274" s="1337"/>
      <c r="G274" s="1337"/>
      <c r="H274" s="1337"/>
      <c r="I274" s="1337"/>
      <c r="J274" s="1338"/>
    </row>
    <row r="275" spans="1:10" hidden="1">
      <c r="A275" s="1339"/>
      <c r="B275" s="1340"/>
      <c r="C275" s="1340"/>
      <c r="D275" s="1340"/>
      <c r="E275" s="1340"/>
      <c r="F275" s="1340"/>
      <c r="G275" s="1340"/>
      <c r="H275" s="1340"/>
      <c r="I275" s="1340"/>
      <c r="J275" s="1341"/>
    </row>
    <row r="276" spans="1:10" hidden="1">
      <c r="A276" s="225"/>
      <c r="J276" s="226"/>
    </row>
    <row r="277" spans="1:10" hidden="1">
      <c r="A277" s="225" t="s">
        <v>175</v>
      </c>
      <c r="J277" s="479" t="s">
        <v>833</v>
      </c>
    </row>
    <row r="278" spans="1:10" hidden="1">
      <c r="A278" s="225" t="s">
        <v>288</v>
      </c>
      <c r="J278" s="478" t="str">
        <f>IF(J266="Yes","Answer Required","N/A")</f>
        <v>N/A</v>
      </c>
    </row>
    <row r="279" spans="1:10" hidden="1">
      <c r="A279" s="225"/>
      <c r="J279" s="226"/>
    </row>
    <row r="280" spans="1:10" hidden="1">
      <c r="A280" s="225" t="s">
        <v>290</v>
      </c>
      <c r="J280" s="226"/>
    </row>
    <row r="281" spans="1:10" hidden="1">
      <c r="A281" s="225" t="s">
        <v>289</v>
      </c>
      <c r="J281" s="226"/>
    </row>
    <row r="282" spans="1:10" ht="24" hidden="1" customHeight="1">
      <c r="A282" s="1330" t="s">
        <v>291</v>
      </c>
      <c r="B282" s="1331"/>
      <c r="C282" s="1331"/>
      <c r="D282" s="1331"/>
      <c r="E282" s="1331"/>
      <c r="F282" s="1331"/>
      <c r="G282" s="1331"/>
      <c r="H282" s="1331"/>
      <c r="I282" s="1331"/>
      <c r="J282" s="1332"/>
    </row>
    <row r="283" spans="1:10" hidden="1">
      <c r="A283" s="225"/>
      <c r="J283" s="226"/>
    </row>
    <row r="284" spans="1:10" ht="12.75" hidden="1">
      <c r="A284" s="347"/>
      <c r="B284" s="348"/>
      <c r="C284" s="348"/>
      <c r="D284" s="348"/>
      <c r="E284" s="348"/>
      <c r="F284" s="348"/>
      <c r="G284" s="348"/>
      <c r="H284" s="348"/>
      <c r="I284" s="348"/>
      <c r="J284" s="349"/>
    </row>
  </sheetData>
  <sheetProtection algorithmName="SHA-512" hashValue="eVsCHLjnNHTNu+kpKgHNUyJj7KGrsadYDZfd0m8TDuNA+ln72O/5evF0zALyli7z1RldehId+b652HXaKaBFbw==" saltValue="AWqC+i1QYNndHexA56qQCQ==" spinCount="100000" sheet="1" objects="1" scenarios="1"/>
  <customSheetViews>
    <customSheetView guid="{FBB78E72-3FBC-498A-91AC-D094BCE26D3C}" showPageBreaks="1" showGridLines="0" printArea="1" hiddenRows="1" view="pageBreakPreview">
      <selection activeCell="D224" sqref="D224"/>
      <rowBreaks count="1" manualBreakCount="1">
        <brk id="96" max="14" man="1"/>
      </rowBreaks>
      <pageMargins left="0.5" right="0.31" top="0.6" bottom="0.53" header="0.25" footer="0.24"/>
      <pageSetup scale="53" orientation="portrait" cellComments="asDisplayed" r:id="rId1"/>
      <headerFooter alignWithMargins="0">
        <oddHeader>&amp;C&amp;"Times New Roman,Bold"Attachment CU4
Financial Statement Template (FST)
&amp;A</oddHeader>
        <oddFooter>&amp;L&amp;"Times New Roman,Regular"&amp;F \ &amp;A&amp;R&amp;"Times New Roman,Regular" Page &amp;P</oddFooter>
      </headerFooter>
    </customSheetView>
    <customSheetView guid="{A5477BC9-FA34-449D-B0C2-AF3469BA8BF0}" showPageBreaks="1" showGridLines="0" printArea="1" hiddenRows="1" view="pageBreakPreview" topLeftCell="A180">
      <selection activeCell="N219" sqref="N219"/>
      <rowBreaks count="1" manualBreakCount="1">
        <brk id="96" max="14" man="1"/>
      </rowBreaks>
      <pageMargins left="0.5" right="0.31" top="0.6" bottom="0.53" header="0.25" footer="0.24"/>
      <pageSetup scale="53" orientation="portrait" cellComments="asDisplayed" r:id="rId2"/>
      <headerFooter alignWithMargins="0">
        <oddHeader>&amp;C&amp;"Times New Roman,Bold"Attachment CU4
Financial Statement Template (FST)
&amp;A</oddHeader>
        <oddFooter>&amp;L&amp;"Times New Roman,Regular"&amp;F \ &amp;A&amp;R&amp;"Times New Roman,Regular" Page &amp;P</oddFooter>
      </headerFooter>
    </customSheetView>
    <customSheetView guid="{DFFBE5FE-C073-48C5-BDD2-B0EAD8B5A8E7}" showPageBreaks="1" showGridLines="0" printArea="1" hiddenRows="1" view="pageBreakPreview" topLeftCell="A180">
      <selection activeCell="N219" sqref="N219"/>
      <rowBreaks count="1" manualBreakCount="1">
        <brk id="96" max="14" man="1"/>
      </rowBreaks>
      <pageMargins left="0.5" right="0.31" top="0.6" bottom="0.53" header="0.25" footer="0.24"/>
      <pageSetup scale="53" orientation="portrait" cellComments="asDisplayed" r:id="rId3"/>
      <headerFooter alignWithMargins="0">
        <oddHeader>&amp;C&amp;"Times New Roman,Bold"Attachment CU4
Financial Statement Template (FST)
&amp;A</oddHeader>
        <oddFooter>&amp;L&amp;"Times New Roman,Regular"&amp;F \ &amp;A&amp;R&amp;"Times New Roman,Regular" Page &amp;P</oddFooter>
      </headerFooter>
    </customSheetView>
    <customSheetView guid="{9A25463D-BF6D-4A94-84A5-80E7F3451C59}" showPageBreaks="1" showGridLines="0" printArea="1" hiddenRows="1" view="pageBreakPreview">
      <rowBreaks count="1" manualBreakCount="1">
        <brk id="96" max="14" man="1"/>
      </rowBreaks>
      <pageMargins left="0.5" right="0.31" top="0.6" bottom="0.53" header="0.25" footer="0.24"/>
      <pageSetup scale="53" orientation="portrait" cellComments="asDisplayed" r:id="rId4"/>
      <headerFooter alignWithMargins="0">
        <oddHeader>&amp;C&amp;"Times New Roman,Bold"Attachment CU4
Financial Statement Template (FST)
&amp;A</oddHeader>
        <oddFooter>&amp;L&amp;"Times New Roman,Regular"&amp;F \ &amp;A&amp;R&amp;"Times New Roman,Regular" Page &amp;P</oddFooter>
      </headerFooter>
    </customSheetView>
    <customSheetView guid="{10B70302-090E-4CFD-BAE6-CC560B897D26}" showPageBreaks="1" showGridLines="0" printArea="1" hiddenRows="1" view="pageBreakPreview" topLeftCell="A148">
      <selection activeCell="D59" sqref="D59"/>
      <rowBreaks count="1" manualBreakCount="1">
        <brk id="96" max="14" man="1"/>
      </rowBreaks>
      <pageMargins left="0.5" right="0.31" top="0.6" bottom="0.53" header="0.25" footer="0.24"/>
      <pageSetup scale="53" orientation="portrait" cellComments="asDisplayed" r:id="rId5"/>
      <headerFooter alignWithMargins="0">
        <oddHeader>&amp;C&amp;"Times New Roman,Bold"Attachment CU4
Financial Statement Template (FST)
&amp;A</oddHeader>
        <oddFooter>&amp;L&amp;"Times New Roman,Regular"&amp;F \ &amp;A&amp;R&amp;"Times New Roman,Regular" Page &amp;P</oddFooter>
      </headerFooter>
    </customSheetView>
  </customSheetViews>
  <mergeCells count="19">
    <mergeCell ref="L12:M12"/>
    <mergeCell ref="C14:D14"/>
    <mergeCell ref="L13:M13"/>
    <mergeCell ref="C13:D13"/>
    <mergeCell ref="L14:M14"/>
    <mergeCell ref="B1:G1"/>
    <mergeCell ref="B2:G2"/>
    <mergeCell ref="B3:G3"/>
    <mergeCell ref="B4:G4"/>
    <mergeCell ref="A282:J282"/>
    <mergeCell ref="A270:J275"/>
    <mergeCell ref="A161:J172"/>
    <mergeCell ref="A146:J153"/>
    <mergeCell ref="A255:J256"/>
    <mergeCell ref="B5:G5"/>
    <mergeCell ref="B6:G6"/>
    <mergeCell ref="A175:J179"/>
    <mergeCell ref="A234:J240"/>
    <mergeCell ref="A254:J254"/>
  </mergeCells>
  <phoneticPr fontId="27" type="noConversion"/>
  <conditionalFormatting sqref="A21">
    <cfRule type="cellIs" dxfId="211" priority="31" operator="equal">
      <formula>"Answer Required"</formula>
    </cfRule>
  </conditionalFormatting>
  <conditionalFormatting sqref="A35">
    <cfRule type="cellIs" dxfId="210" priority="30" operator="equal">
      <formula>"Answer Required"</formula>
    </cfRule>
  </conditionalFormatting>
  <conditionalFormatting sqref="A42">
    <cfRule type="cellIs" dxfId="209" priority="14" operator="equal">
      <formula>"Answer Required"</formula>
    </cfRule>
  </conditionalFormatting>
  <conditionalFormatting sqref="A146">
    <cfRule type="containsText" dxfId="208" priority="15" operator="containsText" text="Answer Required">
      <formula>NOT(ISERROR(SEARCH("Answer Required",A146)))</formula>
    </cfRule>
  </conditionalFormatting>
  <conditionalFormatting sqref="A182">
    <cfRule type="cellIs" dxfId="207" priority="9" operator="equal">
      <formula>"Answer Required"</formula>
    </cfRule>
  </conditionalFormatting>
  <conditionalFormatting sqref="A188">
    <cfRule type="cellIs" dxfId="206" priority="6" operator="equal">
      <formula>"Answer Required"</formula>
    </cfRule>
  </conditionalFormatting>
  <conditionalFormatting sqref="A207">
    <cfRule type="cellIs" dxfId="205" priority="12" operator="equal">
      <formula>"Answer Required"</formula>
    </cfRule>
  </conditionalFormatting>
  <conditionalFormatting sqref="A198:B198">
    <cfRule type="cellIs" dxfId="204" priority="5" operator="equal">
      <formula>"Answer Required"</formula>
    </cfRule>
  </conditionalFormatting>
  <conditionalFormatting sqref="A218:B218">
    <cfRule type="cellIs" dxfId="203" priority="4" operator="equal">
      <formula>"Answer Required"</formula>
    </cfRule>
  </conditionalFormatting>
  <conditionalFormatting sqref="A206:D206">
    <cfRule type="cellIs" dxfId="202" priority="13" operator="equal">
      <formula>"Answer Required"</formula>
    </cfRule>
  </conditionalFormatting>
  <conditionalFormatting sqref="A175:J179">
    <cfRule type="containsText" dxfId="201" priority="24" operator="containsText" text="Answer Required">
      <formula>NOT(ISERROR(SEARCH("Answer Required",A175)))</formula>
    </cfRule>
    <cfRule type="containsText" dxfId="200" priority="25" operator="containsText" text="Answer Requied">
      <formula>NOT(ISERROR(SEARCH("Answer Requied",A175)))</formula>
    </cfRule>
    <cfRule type="containsText" dxfId="199" priority="28" operator="containsText" text="No">
      <formula>NOT(ISERROR(SEARCH("No",A175)))</formula>
    </cfRule>
  </conditionalFormatting>
  <conditionalFormatting sqref="B204:B205">
    <cfRule type="cellIs" dxfId="198" priority="3" operator="equal">
      <formula>"Answer Required"</formula>
    </cfRule>
  </conditionalFormatting>
  <conditionalFormatting sqref="B224:B225">
    <cfRule type="cellIs" dxfId="197" priority="1" operator="equal">
      <formula>"Answer Required"</formula>
    </cfRule>
  </conditionalFormatting>
  <conditionalFormatting sqref="J158">
    <cfRule type="containsText" dxfId="196" priority="17" operator="containsText" text="Answer Required">
      <formula>NOT(ISERROR(SEARCH("Answer Required",J158)))</formula>
    </cfRule>
  </conditionalFormatting>
  <conditionalFormatting sqref="M76">
    <cfRule type="cellIs" dxfId="195" priority="16" operator="equal">
      <formula>"ERROR"</formula>
    </cfRule>
  </conditionalFormatting>
  <dataValidations count="13">
    <dataValidation type="list" allowBlank="1" showInputMessage="1" showErrorMessage="1" error="Use the drop-down list to enter Yes, No, or N/A" sqref="J278" xr:uid="{00000000-0002-0000-0800-000000000000}">
      <formula1>$A$260:$A$262</formula1>
    </dataValidation>
    <dataValidation type="list" allowBlank="1" showInputMessage="1" showErrorMessage="1" error="Use the drop-down list to enter Yes or No" sqref="J266" xr:uid="{00000000-0002-0000-0800-000001000000}">
      <formula1>$A$260:$A$261</formula1>
    </dataValidation>
    <dataValidation type="whole" allowBlank="1" showInputMessage="1" showErrorMessage="1" error="Enter a whole number." sqref="J218 J182:J186 J188:J206" xr:uid="{00000000-0002-0000-0800-000002000000}">
      <formula1>-9999999999999</formula1>
      <formula2>9999999999999</formula2>
    </dataValidation>
    <dataValidation type="list" allowBlank="1" showInputMessage="1" showErrorMessage="1" sqref="J230 J243" xr:uid="{00000000-0002-0000-0800-000003000000}">
      <formula1>$A$260:$A$261</formula1>
    </dataValidation>
    <dataValidation type="whole" allowBlank="1" showInputMessage="1" showErrorMessage="1" errorTitle="Enter Years" error="Enter number of Years 0-200" sqref="J208:J217 J219:J225" xr:uid="{00000000-0002-0000-0800-000004000000}">
      <formula1>0</formula1>
      <formula2>200</formula2>
    </dataValidation>
    <dataValidation type="whole" allowBlank="1" showInputMessage="1" showErrorMessage="1" sqref="D22:D23 D46:D47 G46:G47 M78 J46:J47 J22 M16:M22 G22:G23 J72:J74 F71 F16:F33 I16:I33 F35:F40 I35:I40 J60 D60 G60 J76 D72:D78 I71:I78 F72:G78 I42 F42 H16:H78 E16:E78 K16:L78 M24:M75 I46:I67 F46:F67" xr:uid="{00000000-0002-0000-0800-000005000000}">
      <formula1>0</formula1>
      <formula2>9.99999999999999E+25</formula2>
    </dataValidation>
    <dataValidation allowBlank="1" showErrorMessage="1" sqref="M76 M23" xr:uid="{00000000-0002-0000-0800-000006000000}"/>
    <dataValidation type="whole" allowBlank="1" showInputMessage="1" showErrorMessage="1" sqref="J23 J75 J77:J78" xr:uid="{00000000-0002-0000-0800-000007000000}">
      <formula1>-999999999999999</formula1>
      <formula2>9.99999999999999E+25</formula2>
    </dataValidation>
    <dataValidation type="whole" allowBlank="1" showInputMessage="1" showErrorMessage="1" error="Enter a positive whole number." sqref="D54 D35:D36 G54 G21 D21 D30 G30 G35:G36 D42 G71 D63 G63 D71 G42 G59 D59" xr:uid="{00000000-0002-0000-0800-000008000000}">
      <formula1>-1</formula1>
      <formula2>9999999999999</formula2>
    </dataValidation>
    <dataValidation type="whole" allowBlank="1" showInputMessage="1" showErrorMessage="1" error="Enter a negative whole number." sqref="J54 J21 J30 J35:J36 J71 J63 J42 J59" xr:uid="{00000000-0002-0000-0800-000009000000}">
      <formula1>-9999999999999</formula1>
      <formula2>1</formula2>
    </dataValidation>
    <dataValidation type="whole" allowBlank="1" showInputMessage="1" showErrorMessage="1" error="Enter a negative whole number." sqref="J37:J41 J16:J20 J25:J29 J31:J34 J49:J53 J43:J45 J64:J70 J61:J62 J55:J58" xr:uid="{00000000-0002-0000-0800-00000A000000}">
      <formula1>-9999999999999</formula1>
      <formula2>0</formula2>
    </dataValidation>
    <dataValidation type="whole" allowBlank="1" showInputMessage="1" showErrorMessage="1" error="Enter a positive whole number." sqref="D16:D20 G16:G20 D25:D29 G25:G29 D31:D34 G31:G34 D49:D53 G49:G53 D61:D62 G37:G41 D37:D41 D43:D45 G55:G58 D64:D70 G61:G62 G43:G45 G64:G70 D55:D58" xr:uid="{00000000-0002-0000-0800-00000B000000}">
      <formula1>0</formula1>
      <formula2>9999999999999</formula2>
    </dataValidation>
    <dataValidation type="list" allowBlank="1" showInputMessage="1" showErrorMessage="1" error="Use the drop-down list to enter yes, no, or N/A" sqref="J158" xr:uid="{00000000-0002-0000-0800-00000C000000}">
      <formula1>"Yes, No, N/A"</formula1>
    </dataValidation>
  </dataValidations>
  <pageMargins left="0.75" right="0.31" top="0.6" bottom="0.53" header="0.25" footer="0.24"/>
  <pageSetup scale="59" fitToHeight="3" orientation="portrait" cellComments="asDisplayed" r:id="rId6"/>
  <headerFooter alignWithMargins="0">
    <oddHeader>&amp;C&amp;"Times New Roman,Bold"Attachment CU4
Financial Statement Template (FST)
&amp;A</oddHeader>
    <oddFooter>&amp;L&amp;"Times New Roman,Regular"&amp;F \ &amp;A&amp;RPage &amp;P</oddFooter>
  </headerFooter>
  <rowBreaks count="3" manualBreakCount="3">
    <brk id="79" max="14" man="1"/>
    <brk id="154" max="14" man="1"/>
    <brk id="258" max="14" man="1"/>
  </row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23</vt:i4>
      </vt:variant>
    </vt:vector>
  </HeadingPairs>
  <TitlesOfParts>
    <vt:vector size="42" baseType="lpstr">
      <vt:lpstr>Prior Year Amounts</vt:lpstr>
      <vt:lpstr>Component Unit Template</vt:lpstr>
      <vt:lpstr>Template Flux</vt:lpstr>
      <vt:lpstr>Tab 1A - Detail</vt:lpstr>
      <vt:lpstr>Tab 1B-Cash Eq. &amp; Inv. Not w Tr</vt:lpstr>
      <vt:lpstr>Tab 1C - Foreign Currency Inv</vt:lpstr>
      <vt:lpstr>Tab 1D - Recordation</vt:lpstr>
      <vt:lpstr>Tab 2 - Receivables</vt:lpstr>
      <vt:lpstr>Tab 3 - Capital Assets</vt:lpstr>
      <vt:lpstr>Tab 4 - LT Liabilities</vt:lpstr>
      <vt:lpstr>Tab 4A - Short-term Debt</vt:lpstr>
      <vt:lpstr>Tab 5 - Commitments</vt:lpstr>
      <vt:lpstr>Tab 6 - Restatements</vt:lpstr>
      <vt:lpstr>Tab 7 - Inventory</vt:lpstr>
      <vt:lpstr>Tab 8 - Miscellaneous</vt:lpstr>
      <vt:lpstr>Tab 9 - Imprmnt. of Cap. Assets</vt:lpstr>
      <vt:lpstr>Tab 10 - Net Inv in Cap Assets</vt:lpstr>
      <vt:lpstr>Certification</vt:lpstr>
      <vt:lpstr>Revision Control Log</vt:lpstr>
      <vt:lpstr>Certification!Print_Area</vt:lpstr>
      <vt:lpstr>'Component Unit Template'!Print_Area</vt:lpstr>
      <vt:lpstr>'Prior Year Amounts'!Print_Area</vt:lpstr>
      <vt:lpstr>'Revision Control Log'!Print_Area</vt:lpstr>
      <vt:lpstr>'Tab 10 - Net Inv in Cap Assets'!Print_Area</vt:lpstr>
      <vt:lpstr>'Tab 1A - Detail'!Print_Area</vt:lpstr>
      <vt:lpstr>'Tab 1B-Cash Eq. &amp; Inv. Not w Tr'!Print_Area</vt:lpstr>
      <vt:lpstr>'Tab 1C - Foreign Currency Inv'!Print_Area</vt:lpstr>
      <vt:lpstr>'Tab 1D - Recordation'!Print_Area</vt:lpstr>
      <vt:lpstr>'Tab 2 - Receivables'!Print_Area</vt:lpstr>
      <vt:lpstr>'Tab 3 - Capital Assets'!Print_Area</vt:lpstr>
      <vt:lpstr>'Tab 4 - LT Liabilities'!Print_Area</vt:lpstr>
      <vt:lpstr>'Tab 5 - Commitments'!Print_Area</vt:lpstr>
      <vt:lpstr>'Tab 6 - Restatements'!Print_Area</vt:lpstr>
      <vt:lpstr>'Tab 7 - Inventory'!Print_Area</vt:lpstr>
      <vt:lpstr>'Tab 8 - Miscellaneous'!Print_Area</vt:lpstr>
      <vt:lpstr>'Tab 9 - Imprmnt. of Cap. Assets'!Print_Area</vt:lpstr>
      <vt:lpstr>'Template Flux'!Print_Area</vt:lpstr>
      <vt:lpstr>'Prior Year Amounts'!Print_Titles</vt:lpstr>
      <vt:lpstr>'Revision Control Log'!Print_Titles</vt:lpstr>
      <vt:lpstr>'Tab 1B-Cash Eq. &amp; Inv. Not w Tr'!Print_Titles</vt:lpstr>
      <vt:lpstr>'Tab 1C - Foreign Currency Inv'!Print_Titles</vt:lpstr>
      <vt:lpstr>'Template Flux'!Print_Titles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Salminen</dc:creator>
  <cp:lastModifiedBy>Sotos, John (DOA)</cp:lastModifiedBy>
  <cp:lastPrinted>2024-05-10T12:47:10Z</cp:lastPrinted>
  <dcterms:created xsi:type="dcterms:W3CDTF">2003-04-08T13:50:41Z</dcterms:created>
  <dcterms:modified xsi:type="dcterms:W3CDTF">2024-05-28T14:40:43Z</dcterms:modified>
</cp:coreProperties>
</file>