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Directive\Fiscal 2024\Agency-VDOT-Treasury Directive\Excel Files Ready for Testing\"/>
    </mc:Choice>
  </mc:AlternateContent>
  <xr:revisionPtr revIDLastSave="0" documentId="13_ncr:1_{6F496F76-2811-4309-A29B-B39CC6710622}" xr6:coauthVersionLast="47" xr6:coauthVersionMax="47" xr10:uidLastSave="{00000000-0000-0000-0000-000000000000}"/>
  <workbookProtection workbookAlgorithmName="SHA-512" workbookHashValue="iHyredT1RW4f8TWONSweFSg/F4ZypdUWWRqBpvcwqfyHpsubVJtkyWMlAGC0rwlAYZ4nVNwgkm8xP5iYXwpG5g==" workbookSaltValue="pJXbXa8V8rECgHDtBUJeUQ==" workbookSpinCount="100000" lockStructure="1"/>
  <bookViews>
    <workbookView xWindow="28680" yWindow="-120" windowWidth="29040" windowHeight="15720" tabRatio="701" firstSheet="4" activeTab="4" xr2:uid="{57321F64-6AC5-42DD-8015-32FC98D0F9FB}"/>
  </bookViews>
  <sheets>
    <sheet name="ALL AGENCY TABLE" sheetId="20" state="hidden" r:id="rId1"/>
    <sheet name="Fund Vlookup" sheetId="21" state="hidden" r:id="rId2"/>
    <sheet name="Ending FB - FY 2023" sheetId="19" state="hidden" r:id="rId3"/>
    <sheet name="Hlookup" sheetId="18" state="hidden" r:id="rId4"/>
    <sheet name="Fund Financial Stmt Template" sheetId="1" r:id="rId5"/>
    <sheet name="Fund Balance Reconciliation" sheetId="2" r:id="rId6"/>
    <sheet name="Govwide Fin. Stmt Template" sheetId="3" r:id="rId7"/>
    <sheet name="Tab 1A-GASB 3-40" sheetId="4" r:id="rId8"/>
    <sheet name="Tab 1B-CE &amp; Inv Not W Treas " sheetId="5" r:id="rId9"/>
    <sheet name="Tab 1C-Foreign Currency Inv" sheetId="6" r:id="rId10"/>
    <sheet name="Tab 1D-GASB 31" sheetId="7" r:id="rId11"/>
    <sheet name="Tab 2-Receivables" sheetId="8" r:id="rId12"/>
    <sheet name="Tab 3 - Due to &amp; From" sheetId="9" r:id="rId13"/>
    <sheet name="Tab 4-Miscellaneous" sheetId="10" r:id="rId14"/>
    <sheet name="Tab 5-Transfers In &amp; Out" sheetId="11" r:id="rId15"/>
    <sheet name="Tab 6-Restatements" sheetId="12" r:id="rId16"/>
    <sheet name="Tab 7-Fluctuation Analysis" sheetId="13" r:id="rId17"/>
    <sheet name="Tab 8-LT Liabilities" sheetId="14" state="hidden" r:id="rId18"/>
    <sheet name="Tab 9-Capital Assets" sheetId="15" state="hidden" r:id="rId19"/>
    <sheet name="Certification" sheetId="16" r:id="rId20"/>
    <sheet name="Revision Control Log" sheetId="17" r:id="rId21"/>
  </sheets>
  <definedNames>
    <definedName name="_xlnm._FilterDatabase" localSheetId="0" hidden="1">'ALL AGENCY TABLE'!$A$1:$F$154</definedName>
    <definedName name="art_bs" localSheetId="18">#REF!</definedName>
    <definedName name="art_cf" localSheetId="18">#REF!</definedName>
    <definedName name="art_is" localSheetId="18">#REF!</definedName>
    <definedName name="Balance_Sheet" localSheetId="18">#REF!</definedName>
    <definedName name="BS_Title" localSheetId="18">#REF!</definedName>
    <definedName name="Cash_Flows" localSheetId="18">#REF!</definedName>
    <definedName name="Income_Statement" localSheetId="18">#REF!</definedName>
    <definedName name="IS" localSheetId="18">#REF!</definedName>
    <definedName name="IS_Title" localSheetId="18">#REF!</definedName>
    <definedName name="Leg_BS" localSheetId="18">#REF!</definedName>
    <definedName name="LEG_CF" localSheetId="18">#REF!</definedName>
    <definedName name="Leg_IS" localSheetId="18">#REF!</definedName>
    <definedName name="_xlnm.Print_Area" localSheetId="19">Certification!$A$1:$Q$58</definedName>
    <definedName name="_xlnm.Print_Area" localSheetId="2">'Ending FB - FY 2023'!$A$1:$I$24</definedName>
    <definedName name="_xlnm.Print_Area" localSheetId="4">'Fund Financial Stmt Template'!$A$1:$W$178</definedName>
    <definedName name="_xlnm.Print_Area" localSheetId="6">'Govwide Fin. Stmt Template'!$A$1:$V$245</definedName>
    <definedName name="_xlnm.Print_Area" localSheetId="20">'Revision Control Log'!$A$1:$F$63</definedName>
    <definedName name="_xlnm.Print_Area" localSheetId="7">'Tab 1A-GASB 3-40'!$A$1:$J$187</definedName>
    <definedName name="_xlnm.Print_Area" localSheetId="8">'Tab 1B-CE &amp; Inv Not W Treas '!$A$1:$AI$154</definedName>
    <definedName name="_xlnm.Print_Area" localSheetId="9">'Tab 1C-Foreign Currency Inv'!$A$1:$BV$67</definedName>
    <definedName name="_xlnm.Print_Area" localSheetId="10">'Tab 1D-GASB 31'!$A$1:$H$62</definedName>
    <definedName name="_xlnm.Print_Area" localSheetId="12">'Tab 3 - Due to &amp; From'!$A$1:$K$69</definedName>
    <definedName name="_xlnm.Print_Area" localSheetId="13">'Tab 4-Miscellaneous'!$A$1:$C$384</definedName>
    <definedName name="_xlnm.Print_Area" localSheetId="14">'Tab 5-Transfers In &amp; Out'!$A$1:$K$44</definedName>
    <definedName name="_xlnm.Print_Area" localSheetId="15">'Tab 6-Restatements'!$A$1:$N$51</definedName>
    <definedName name="_xlnm.Print_Area" localSheetId="16">'Tab 7-Fluctuation Analysis'!$A$1:$R$187</definedName>
    <definedName name="_xlnm.Print_Area" localSheetId="17">'Tab 8-LT Liabilities'!$A$1:$I$83</definedName>
    <definedName name="_xlnm.Print_Titles" localSheetId="0">'ALL AGENCY TABLE'!$1:$1</definedName>
    <definedName name="_xlnm.Print_Titles" localSheetId="3">Hlookup!$A:$D</definedName>
    <definedName name="_xlnm.Print_Titles" localSheetId="20">'Revision Control Log'!$1:$11</definedName>
    <definedName name="_xlnm.Print_Titles" localSheetId="8">'Tab 1B-CE &amp; Inv Not W Treas '!$A:$E,'Tab 1B-CE &amp; Inv Not W Treas '!$1:$11</definedName>
    <definedName name="_xlnm.Print_Titles" localSheetId="12">'Tab 3 - Due to &amp; From'!$1:$13</definedName>
    <definedName name="Science_Bs" localSheetId="18">#REF!</definedName>
    <definedName name="Science_cf" localSheetId="18">#REF!</definedName>
    <definedName name="Science_IS" localSheetId="18">#REF!</definedName>
    <definedName name="wrn.Footnote._.8." localSheetId="8" hidden="1">{#N/A,#N/A,FALSE,"Fixed Assets";#N/A,#N/A,FALSE,"PPE Wksheet"}</definedName>
    <definedName name="wrn.Footnote._.8." hidden="1">{#N/A,#N/A,FALSE,"Fixed Assets";#N/A,#N/A,FALSE,"PPE Wksheet"}</definedName>
    <definedName name="Z_354F272F_821B_473B_9CC5_4001AD879606_.wvu.Cols" localSheetId="0" hidden="1">'ALL AGENCY TABLE'!#REF!</definedName>
    <definedName name="Z_354F272F_821B_473B_9CC5_4001AD879606_.wvu.Cols" localSheetId="19" hidden="1">Certification!$R:$R</definedName>
    <definedName name="Z_354F272F_821B_473B_9CC5_4001AD879606_.wvu.Cols" localSheetId="4" hidden="1">'Fund Financial Stmt Template'!$I:$L,'Fund Financial Stmt Template'!$P:$S</definedName>
    <definedName name="Z_354F272F_821B_473B_9CC5_4001AD879606_.wvu.Cols" localSheetId="6" hidden="1">'Govwide Fin. Stmt Template'!$Q:$T</definedName>
    <definedName name="Z_354F272F_821B_473B_9CC5_4001AD879606_.wvu.Cols" localSheetId="3" hidden="1">Hlookup!$N:$N,Hlookup!$T:$T,Hlookup!$V:$W,Hlookup!$AE:$AE</definedName>
    <definedName name="Z_354F272F_821B_473B_9CC5_4001AD879606_.wvu.Cols" localSheetId="9" hidden="1">'Tab 1C-Foreign Currency Inv'!$AD:$AF</definedName>
    <definedName name="Z_354F272F_821B_473B_9CC5_4001AD879606_.wvu.Cols" localSheetId="13" hidden="1">'Tab 4-Miscellaneous'!$G:$M</definedName>
    <definedName name="Z_354F272F_821B_473B_9CC5_4001AD879606_.wvu.Cols" localSheetId="18" hidden="1">'Tab 9-Capital Assets'!$R:$S</definedName>
    <definedName name="Z_354F272F_821B_473B_9CC5_4001AD879606_.wvu.FilterData" localSheetId="0" hidden="1">'ALL AGENCY TABLE'!$A$1:$F$157</definedName>
    <definedName name="Z_354F272F_821B_473B_9CC5_4001AD879606_.wvu.PrintArea" localSheetId="19" hidden="1">Certification!$A$1:$Q$58</definedName>
    <definedName name="Z_354F272F_821B_473B_9CC5_4001AD879606_.wvu.PrintArea" localSheetId="4" hidden="1">'Fund Financial Stmt Template'!$A$1:$Z$178</definedName>
    <definedName name="Z_354F272F_821B_473B_9CC5_4001AD879606_.wvu.PrintArea" localSheetId="6" hidden="1">'Govwide Fin. Stmt Template'!$A$1:$V$245</definedName>
    <definedName name="Z_354F272F_821B_473B_9CC5_4001AD879606_.wvu.PrintArea" localSheetId="7" hidden="1">'Tab 1A-GASB 3-40'!$A$1:$J$187</definedName>
    <definedName name="Z_354F272F_821B_473B_9CC5_4001AD879606_.wvu.PrintArea" localSheetId="8" hidden="1">'Tab 1B-CE &amp; Inv Not W Treas '!$A$1:$AI$154</definedName>
    <definedName name="Z_354F272F_821B_473B_9CC5_4001AD879606_.wvu.PrintArea" localSheetId="9" hidden="1">'Tab 1C-Foreign Currency Inv'!$A$1:$BV$67</definedName>
    <definedName name="Z_354F272F_821B_473B_9CC5_4001AD879606_.wvu.PrintArea" localSheetId="10" hidden="1">'Tab 1D-GASB 31'!$A$1:$H$62</definedName>
    <definedName name="Z_354F272F_821B_473B_9CC5_4001AD879606_.wvu.PrintArea" localSheetId="12" hidden="1">'Tab 3 - Due to &amp; From'!$A$1:$K$70</definedName>
    <definedName name="Z_354F272F_821B_473B_9CC5_4001AD879606_.wvu.PrintArea" localSheetId="13" hidden="1">'Tab 4-Miscellaneous'!$A$1:$C$361</definedName>
    <definedName name="Z_354F272F_821B_473B_9CC5_4001AD879606_.wvu.PrintArea" localSheetId="14" hidden="1">'Tab 5-Transfers In &amp; Out'!$A$1:$K$44</definedName>
    <definedName name="Z_354F272F_821B_473B_9CC5_4001AD879606_.wvu.PrintArea" localSheetId="16" hidden="1">'Tab 7-Fluctuation Analysis'!$A$1:$R$187</definedName>
    <definedName name="Z_354F272F_821B_473B_9CC5_4001AD879606_.wvu.PrintArea" localSheetId="17" hidden="1">'Tab 8-LT Liabilities'!$A$1:$I$83</definedName>
    <definedName name="Z_354F272F_821B_473B_9CC5_4001AD879606_.wvu.PrintTitles" localSheetId="0" hidden="1">'ALL AGENCY TABLE'!$1:$1</definedName>
    <definedName name="Z_354F272F_821B_473B_9CC5_4001AD879606_.wvu.PrintTitles" localSheetId="3" hidden="1">Hlookup!$A:$D,Hlookup!$1:$1</definedName>
    <definedName name="Z_354F272F_821B_473B_9CC5_4001AD879606_.wvu.PrintTitles" localSheetId="20" hidden="1">'Revision Control Log'!$1:$11</definedName>
    <definedName name="Z_354F272F_821B_473B_9CC5_4001AD879606_.wvu.PrintTitles" localSheetId="8" hidden="1">'Tab 1B-CE &amp; Inv Not W Treas '!$A:$E,'Tab 1B-CE &amp; Inv Not W Treas '!$1:$11</definedName>
    <definedName name="Z_354F272F_821B_473B_9CC5_4001AD879606_.wvu.PrintTitles" localSheetId="12" hidden="1">'Tab 3 - Due to &amp; From'!$1:$13</definedName>
    <definedName name="Z_354F272F_821B_473B_9CC5_4001AD879606_.wvu.Rows" localSheetId="19" hidden="1">Certification!$7:$7,Certification!$13:$15,Certification!$24:$25</definedName>
    <definedName name="Z_354F272F_821B_473B_9CC5_4001AD879606_.wvu.Rows" localSheetId="2" hidden="1">'Ending FB - FY 2023'!#REF!,'Ending FB - FY 2023'!#REF!,'Ending FB - FY 2023'!#REF!</definedName>
    <definedName name="Z_354F272F_821B_473B_9CC5_4001AD879606_.wvu.Rows" localSheetId="5" hidden="1">'Fund Balance Reconciliation'!$36:$57</definedName>
    <definedName name="Z_354F272F_821B_473B_9CC5_4001AD879606_.wvu.Rows" localSheetId="4" hidden="1">'Fund Financial Stmt Template'!$46:$46,'Fund Financial Stmt Template'!$75:$75,'Fund Financial Stmt Template'!$96:$99,'Fund Financial Stmt Template'!$104:$104,'Fund Financial Stmt Template'!$140:$142,'Fund Financial Stmt Template'!$156:$160,'Fund Financial Stmt Template'!$183:$201</definedName>
    <definedName name="Z_354F272F_821B_473B_9CC5_4001AD879606_.wvu.Rows" localSheetId="6" hidden="1">'Govwide Fin. Stmt Template'!$43:$43,'Govwide Fin. Stmt Template'!$57:$58,'Govwide Fin. Stmt Template'!$79:$79,'Govwide Fin. Stmt Template'!$87:$91,'Govwide Fin. Stmt Template'!$95:$98,'Govwide Fin. Stmt Template'!$100:$104,'Govwide Fin. Stmt Template'!$123:$123,'Govwide Fin. Stmt Template'!$190:$200,'Govwide Fin. Stmt Template'!$213:$217,'Govwide Fin. Stmt Template'!$227:$229</definedName>
    <definedName name="Z_354F272F_821B_473B_9CC5_4001AD879606_.wvu.Rows" localSheetId="3" hidden="1">Hlookup!$38:$40,Hlookup!$86:$91,Hlookup!$144:$144,Hlookup!$149:$149</definedName>
    <definedName name="Z_354F272F_821B_473B_9CC5_4001AD879606_.wvu.Rows" localSheetId="20" hidden="1">'Revision Control Log'!$65:$78</definedName>
    <definedName name="Z_354F272F_821B_473B_9CC5_4001AD879606_.wvu.Rows" localSheetId="7" hidden="1">'Tab 1A-GASB 3-40'!$2:$3,'Tab 1A-GASB 3-40'!$34:$34,'Tab 1A-GASB 3-40'!$51:$51,'Tab 1A-GASB 3-40'!$99:$100,'Tab 1A-GASB 3-40'!$134:$137,'Tab 1A-GASB 3-40'!$142:$142,'Tab 1A-GASB 3-40'!$158:$159,'Tab 1A-GASB 3-40'!$174:$175,'Tab 1A-GASB 3-40'!$193:$226</definedName>
    <definedName name="Z_354F272F_821B_473B_9CC5_4001AD879606_.wvu.Rows" localSheetId="8" hidden="1">'Tab 1B-CE &amp; Inv Not W Treas '!$138:$138</definedName>
    <definedName name="Z_354F272F_821B_473B_9CC5_4001AD879606_.wvu.Rows" localSheetId="9" hidden="1">'Tab 1C-Foreign Currency Inv'!$2:$2</definedName>
    <definedName name="Z_354F272F_821B_473B_9CC5_4001AD879606_.wvu.Rows" localSheetId="10" hidden="1">'Tab 1D-GASB 31'!$50:$50,'Tab 1D-GASB 31'!$56:$62,'Tab 1D-GASB 31'!$89:$93</definedName>
    <definedName name="Z_354F272F_821B_473B_9CC5_4001AD879606_.wvu.Rows" localSheetId="11" hidden="1">'Tab 2-Receivables'!$24:$27</definedName>
    <definedName name="Z_354F272F_821B_473B_9CC5_4001AD879606_.wvu.Rows" localSheetId="12" hidden="1">'Tab 3 - Due to &amp; From'!$75:$77</definedName>
    <definedName name="Z_354F272F_821B_473B_9CC5_4001AD879606_.wvu.Rows" localSheetId="13" hidden="1">'Tab 4-Miscellaneous'!$103:$103,'Tab 4-Miscellaneous'!$109:$110,'Tab 4-Miscellaneous'!$114:$114,'Tab 4-Miscellaneous'!$121:$156,'Tab 4-Miscellaneous'!$169:$199,'Tab 4-Miscellaneous'!$204:$210,'Tab 4-Miscellaneous'!$212:$218,'Tab 4-Miscellaneous'!$282:$304,'Tab 4-Miscellaneous'!$335:$338</definedName>
    <definedName name="Z_354F272F_821B_473B_9CC5_4001AD879606_.wvu.Rows" localSheetId="14" hidden="1">'Tab 5-Transfers In &amp; Out'!$52:$55</definedName>
    <definedName name="Z_354F272F_821B_473B_9CC5_4001AD879606_.wvu.Rows" localSheetId="15" hidden="1">'Tab 6-Restatements'!$25:$27</definedName>
    <definedName name="Z_354F272F_821B_473B_9CC5_4001AD879606_.wvu.Rows" localSheetId="16" hidden="1">'Tab 7-Fluctuation Analysis'!$51:$51,'Tab 7-Fluctuation Analysis'!$86:$86,'Tab 7-Fluctuation Analysis'!$108:$109,'Tab 7-Fluctuation Analysis'!$112:$113,'Tab 7-Fluctuation Analysis'!$116:$116,'Tab 7-Fluctuation Analysis'!$152:$155,'Tab 7-Fluctuation Analysis'!$173:$177,'Tab 7-Fluctuation Analysis'!$201:$217</definedName>
    <definedName name="Z_354F272F_821B_473B_9CC5_4001AD879606_.wvu.Rows" localSheetId="18" hidden="1">'Tab 9-Capital Assets'!$44:$45</definedName>
    <definedName name="Z_6849E161_4DFB_11D5_8CDD_0060945A34C9_.wvu.Rows" localSheetId="13" hidden="1">'Tab 4-Miscellaneous'!#REF!</definedName>
  </definedNames>
  <calcPr calcId="191029"/>
  <customWorkbookViews>
    <customWorkbookView name="Esther Kim - Personal View" guid="{354F272F-821B-473B-9CC5-4001AD879606}" mergeInterval="0" personalView="1" maximized="1" xWindow="-8" yWindow="-8" windowWidth="1936" windowHeight="1056" tabRatio="8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3" l="1"/>
  <c r="A50" i="12" a="1"/>
  <c r="A50" i="12" s="1"/>
  <c r="B20" i="16" l="1" a="1"/>
  <c r="B20" i="16" s="1"/>
  <c r="D16" i="7" l="1"/>
  <c r="I103" i="4"/>
  <c r="J54" i="4"/>
  <c r="H46" i="4"/>
  <c r="C38" i="10" l="1"/>
  <c r="E5" i="13"/>
  <c r="C32" i="10"/>
  <c r="C384" i="10"/>
  <c r="C379" i="10"/>
  <c r="E2" i="1" l="1"/>
  <c r="B8" i="9"/>
  <c r="AO54" i="6" l="1"/>
  <c r="BS54" i="6" s="1"/>
  <c r="AO55" i="6"/>
  <c r="BS55" i="6" s="1"/>
  <c r="AO26" i="6"/>
  <c r="BS26" i="6" s="1"/>
  <c r="AO22" i="6"/>
  <c r="BS22" i="6" s="1"/>
  <c r="AO20" i="6"/>
  <c r="BS20" i="6" s="1"/>
  <c r="D9" i="19"/>
  <c r="K112" i="3" l="1"/>
  <c r="B241" i="10"/>
  <c r="B259" i="10" s="1"/>
  <c r="C161" i="10"/>
  <c r="C108" i="10"/>
  <c r="B101" i="10"/>
  <c r="C84" i="10"/>
  <c r="C80" i="10"/>
  <c r="C79" i="10"/>
  <c r="C78" i="10"/>
  <c r="C74" i="10"/>
  <c r="C54" i="10"/>
  <c r="C49" i="10"/>
  <c r="C43" i="10"/>
  <c r="C28" i="10"/>
  <c r="I43" i="11"/>
  <c r="E88" i="1" l="1"/>
  <c r="E110" i="3" s="1"/>
  <c r="C360" i="10"/>
  <c r="A372" i="10"/>
  <c r="K155" i="1"/>
  <c r="K154" i="1"/>
  <c r="K153" i="1"/>
  <c r="K152" i="1"/>
  <c r="K149" i="1"/>
  <c r="K148" i="1"/>
  <c r="K138" i="1"/>
  <c r="K137" i="1"/>
  <c r="K136" i="1"/>
  <c r="K135" i="1"/>
  <c r="K134" i="1"/>
  <c r="K133" i="1"/>
  <c r="K127" i="1"/>
  <c r="K126" i="1"/>
  <c r="K125" i="1"/>
  <c r="K124" i="1"/>
  <c r="K123" i="1"/>
  <c r="K122" i="1"/>
  <c r="K120" i="1"/>
  <c r="K119" i="1"/>
  <c r="K118" i="1"/>
  <c r="K103" i="1"/>
  <c r="K102" i="1"/>
  <c r="K100" i="1"/>
  <c r="K99" i="1"/>
  <c r="K98" i="1"/>
  <c r="K97" i="1"/>
  <c r="K96" i="1"/>
  <c r="K95" i="1"/>
  <c r="K83" i="1"/>
  <c r="K82" i="1"/>
  <c r="K79" i="1"/>
  <c r="K78" i="1"/>
  <c r="K47" i="1"/>
  <c r="K44" i="1"/>
  <c r="K43" i="1"/>
  <c r="K30" i="1"/>
  <c r="K29" i="1"/>
  <c r="K27" i="1"/>
  <c r="K26" i="1"/>
  <c r="K23" i="1"/>
  <c r="K22" i="1"/>
  <c r="K21" i="1"/>
  <c r="K20" i="1"/>
  <c r="K19" i="1"/>
  <c r="C364" i="10"/>
  <c r="A371" i="10"/>
  <c r="C375" i="10" l="1"/>
  <c r="C373" i="10"/>
  <c r="A369" i="10"/>
  <c r="C370" i="10" l="1"/>
  <c r="B18" i="10" l="1"/>
  <c r="G20" i="8"/>
  <c r="E47" i="1"/>
  <c r="B258" i="10" l="1"/>
  <c r="AO45" i="6"/>
  <c r="BS45" i="6" s="1"/>
  <c r="AG135" i="5"/>
  <c r="AF135" i="5"/>
  <c r="Y135" i="5"/>
  <c r="AF134" i="5"/>
  <c r="Y134" i="5"/>
  <c r="AG134" i="5" s="1"/>
  <c r="AG133" i="5"/>
  <c r="AF133" i="5"/>
  <c r="Y133" i="5"/>
  <c r="AF132" i="5"/>
  <c r="Y132" i="5"/>
  <c r="AG132" i="5" s="1"/>
  <c r="AG131" i="5"/>
  <c r="AF131" i="5"/>
  <c r="Y131" i="5"/>
  <c r="O88" i="1" l="1"/>
  <c r="O76" i="1"/>
  <c r="O69" i="1"/>
  <c r="O52" i="1"/>
  <c r="O30" i="1"/>
  <c r="C354" i="10"/>
  <c r="C348" i="10"/>
  <c r="C349" i="10"/>
  <c r="C350" i="10"/>
  <c r="C351" i="10"/>
  <c r="C342" i="10"/>
  <c r="C334" i="10"/>
  <c r="C324" i="10"/>
  <c r="C98" i="10"/>
  <c r="C99" i="10"/>
  <c r="C100" i="10"/>
  <c r="C81" i="10"/>
  <c r="E124" i="3"/>
  <c r="E105" i="3"/>
  <c r="E83" i="3"/>
  <c r="A329" i="10"/>
  <c r="C331" i="10" s="1"/>
  <c r="A318" i="10"/>
  <c r="C320" i="10" s="1"/>
  <c r="A261" i="10" l="1"/>
  <c r="C262" i="10" s="1"/>
  <c r="E148" i="1"/>
  <c r="E30" i="1" l="1"/>
  <c r="E35" i="1"/>
  <c r="E68" i="1"/>
  <c r="E79" i="1"/>
  <c r="E83" i="1"/>
  <c r="E92" i="3" s="1"/>
  <c r="E127" i="1"/>
  <c r="E149" i="1"/>
  <c r="AO16" i="6" l="1"/>
  <c r="AO17" i="6"/>
  <c r="AO19" i="6"/>
  <c r="AO21" i="6"/>
  <c r="BS21" i="6" s="1"/>
  <c r="AO23" i="6"/>
  <c r="AO24" i="6"/>
  <c r="AO25" i="6"/>
  <c r="AO27" i="6"/>
  <c r="AO28" i="6"/>
  <c r="AO29" i="6"/>
  <c r="AO30" i="6"/>
  <c r="AO31" i="6"/>
  <c r="AO32" i="6"/>
  <c r="AO33" i="6"/>
  <c r="AO34" i="6"/>
  <c r="AO35" i="6"/>
  <c r="AO36" i="6"/>
  <c r="AO37" i="6"/>
  <c r="AO38" i="6"/>
  <c r="AO39" i="6"/>
  <c r="AO40" i="6"/>
  <c r="AO41" i="6"/>
  <c r="AO42" i="6"/>
  <c r="AO43" i="6"/>
  <c r="AO44" i="6"/>
  <c r="AO18" i="6"/>
  <c r="AO46" i="6"/>
  <c r="AO47" i="6"/>
  <c r="AO48" i="6"/>
  <c r="AO49" i="6"/>
  <c r="AO50" i="6"/>
  <c r="AO51" i="6"/>
  <c r="AO52" i="6"/>
  <c r="AO53" i="6"/>
  <c r="AO56" i="6"/>
  <c r="BS56" i="6" s="1"/>
  <c r="AO57" i="6"/>
  <c r="AO15" i="6"/>
  <c r="Q12" i="5" l="1"/>
  <c r="Q111" i="5"/>
  <c r="Q110" i="5"/>
  <c r="Q109" i="5"/>
  <c r="Q108" i="5"/>
  <c r="Q107" i="5"/>
  <c r="Q105" i="5"/>
  <c r="Q104" i="5"/>
  <c r="Q103" i="5"/>
  <c r="Q102" i="5"/>
  <c r="Q101" i="5"/>
  <c r="Q99" i="5"/>
  <c r="Q98" i="5"/>
  <c r="Q97" i="5"/>
  <c r="Q96" i="5"/>
  <c r="Q95" i="5"/>
  <c r="Q93" i="5"/>
  <c r="Q91" i="5"/>
  <c r="Q90" i="5"/>
  <c r="Q89" i="5"/>
  <c r="Q88" i="5"/>
  <c r="Q87" i="5"/>
  <c r="Q85" i="5"/>
  <c r="Q84" i="5"/>
  <c r="Q83" i="5"/>
  <c r="Q82" i="5"/>
  <c r="Q81" i="5"/>
  <c r="Q79" i="5"/>
  <c r="Q78" i="5"/>
  <c r="Q77" i="5"/>
  <c r="Q76" i="5"/>
  <c r="Q75" i="5"/>
  <c r="Q74" i="5"/>
  <c r="Q72" i="5"/>
  <c r="Q71" i="5"/>
  <c r="Q70" i="5"/>
  <c r="Q69" i="5"/>
  <c r="Q68" i="5"/>
  <c r="Q66" i="5"/>
  <c r="Q65" i="5"/>
  <c r="Q64" i="5"/>
  <c r="Q63" i="5"/>
  <c r="Q62" i="5"/>
  <c r="Q60" i="5"/>
  <c r="Q59" i="5"/>
  <c r="Q58" i="5"/>
  <c r="Q57" i="5"/>
  <c r="Q56" i="5"/>
  <c r="Q54" i="5"/>
  <c r="Q53" i="5"/>
  <c r="Q52" i="5"/>
  <c r="Q51" i="5"/>
  <c r="Q50" i="5"/>
  <c r="Q48" i="5"/>
  <c r="Q47" i="5"/>
  <c r="Q46" i="5"/>
  <c r="Q45" i="5"/>
  <c r="Q44" i="5"/>
  <c r="Q42" i="5"/>
  <c r="Q41" i="5"/>
  <c r="Q40" i="5"/>
  <c r="Q39" i="5"/>
  <c r="Q38" i="5"/>
  <c r="Q36" i="5"/>
  <c r="Q35" i="5"/>
  <c r="Q34" i="5"/>
  <c r="Q33" i="5"/>
  <c r="Q32" i="5"/>
  <c r="Q30" i="5"/>
  <c r="Q29" i="5"/>
  <c r="Q28" i="5"/>
  <c r="Q27" i="5"/>
  <c r="Q26" i="5"/>
  <c r="Q24" i="5"/>
  <c r="Q23" i="5"/>
  <c r="Q22" i="5"/>
  <c r="Q21" i="5"/>
  <c r="Q20" i="5"/>
  <c r="Q18" i="5"/>
  <c r="Q17" i="5"/>
  <c r="Q16" i="5"/>
  <c r="Q15" i="5"/>
  <c r="Q14" i="5"/>
  <c r="B17" i="10" l="1"/>
  <c r="B16" i="10"/>
  <c r="E60" i="18" l="1"/>
  <c r="F60" i="18"/>
  <c r="G60" i="18"/>
  <c r="H60" i="18"/>
  <c r="I60" i="18"/>
  <c r="J60" i="18"/>
  <c r="K60" i="18"/>
  <c r="L60" i="18"/>
  <c r="M60" i="18"/>
  <c r="N60" i="18"/>
  <c r="O60" i="18"/>
  <c r="P60" i="18"/>
  <c r="Q60" i="18"/>
  <c r="R60" i="18"/>
  <c r="S60" i="18"/>
  <c r="T60" i="18"/>
  <c r="U60" i="18"/>
  <c r="V60" i="18"/>
  <c r="W60" i="18"/>
  <c r="X60" i="18"/>
  <c r="Y60" i="18"/>
  <c r="Z60" i="18"/>
  <c r="AA60" i="18"/>
  <c r="AB60" i="18"/>
  <c r="AC60" i="18"/>
  <c r="AD60" i="18"/>
  <c r="F65" i="18"/>
  <c r="G65" i="18"/>
  <c r="H65" i="18"/>
  <c r="I65" i="18"/>
  <c r="J65" i="18"/>
  <c r="K65" i="18"/>
  <c r="L65" i="18"/>
  <c r="M65" i="18"/>
  <c r="N65" i="18"/>
  <c r="O65" i="18"/>
  <c r="P65" i="18"/>
  <c r="Q65" i="18"/>
  <c r="R65" i="18"/>
  <c r="S65" i="18"/>
  <c r="T65" i="18"/>
  <c r="U65" i="18"/>
  <c r="V65" i="18"/>
  <c r="W65" i="18"/>
  <c r="X65" i="18"/>
  <c r="Y65" i="18"/>
  <c r="Z65" i="18"/>
  <c r="AA65" i="18"/>
  <c r="AB65" i="18"/>
  <c r="AC65" i="18"/>
  <c r="AD65" i="18"/>
  <c r="E65" i="18"/>
  <c r="E85" i="18"/>
  <c r="M69" i="1" l="1"/>
  <c r="I24" i="1" l="1"/>
  <c r="I28" i="1"/>
  <c r="I48" i="1"/>
  <c r="G24" i="1"/>
  <c r="I50" i="1" l="1"/>
  <c r="P111" i="5" l="1"/>
  <c r="P110" i="5"/>
  <c r="P109" i="5"/>
  <c r="P108" i="5"/>
  <c r="P107" i="5"/>
  <c r="P105" i="5"/>
  <c r="P104" i="5"/>
  <c r="P103" i="5"/>
  <c r="P102" i="5"/>
  <c r="P101" i="5"/>
  <c r="P99" i="5"/>
  <c r="P98" i="5"/>
  <c r="P97" i="5"/>
  <c r="P96" i="5"/>
  <c r="P95" i="5"/>
  <c r="P93" i="5"/>
  <c r="P91" i="5"/>
  <c r="P90" i="5"/>
  <c r="P89" i="5"/>
  <c r="P88" i="5"/>
  <c r="P87" i="5"/>
  <c r="P85" i="5"/>
  <c r="P84" i="5"/>
  <c r="P83" i="5"/>
  <c r="P82" i="5"/>
  <c r="P81" i="5"/>
  <c r="P79" i="5"/>
  <c r="P78" i="5"/>
  <c r="P77" i="5"/>
  <c r="P76" i="5"/>
  <c r="P75" i="5"/>
  <c r="P74" i="5"/>
  <c r="P72" i="5"/>
  <c r="P71" i="5"/>
  <c r="P70" i="5"/>
  <c r="P69" i="5"/>
  <c r="P68" i="5"/>
  <c r="P66" i="5"/>
  <c r="P65" i="5"/>
  <c r="P64" i="5"/>
  <c r="P63" i="5"/>
  <c r="P62" i="5"/>
  <c r="P60" i="5"/>
  <c r="P59" i="5"/>
  <c r="P58" i="5"/>
  <c r="P57" i="5"/>
  <c r="P56" i="5"/>
  <c r="P54" i="5"/>
  <c r="P53" i="5"/>
  <c r="P52" i="5"/>
  <c r="P51" i="5"/>
  <c r="P50" i="5"/>
  <c r="P48" i="5"/>
  <c r="P47" i="5"/>
  <c r="P46" i="5"/>
  <c r="P45" i="5"/>
  <c r="P44" i="5"/>
  <c r="P42" i="5"/>
  <c r="P41" i="5"/>
  <c r="P40" i="5"/>
  <c r="P39" i="5"/>
  <c r="P38" i="5"/>
  <c r="P36" i="5"/>
  <c r="P35" i="5"/>
  <c r="P34" i="5"/>
  <c r="P33" i="5"/>
  <c r="P32" i="5"/>
  <c r="P30" i="5"/>
  <c r="P29" i="5"/>
  <c r="P28" i="5"/>
  <c r="P27" i="5"/>
  <c r="P26" i="5"/>
  <c r="P24" i="5"/>
  <c r="P23" i="5"/>
  <c r="P22" i="5"/>
  <c r="P21" i="5"/>
  <c r="P20" i="5"/>
  <c r="P18" i="5"/>
  <c r="P17" i="5"/>
  <c r="P16" i="5"/>
  <c r="P15" i="5"/>
  <c r="P14" i="5"/>
  <c r="P12" i="5"/>
  <c r="C8" i="5"/>
  <c r="C7" i="5"/>
  <c r="C6" i="5"/>
  <c r="C5" i="5"/>
  <c r="C4" i="5"/>
  <c r="C1" i="5"/>
  <c r="D1" i="4" l="1"/>
  <c r="G33" i="13" l="1"/>
  <c r="G27" i="3"/>
  <c r="O27" i="3" s="1"/>
  <c r="BA64" i="6"/>
  <c r="D20" i="11" l="1"/>
  <c r="D21" i="11"/>
  <c r="D22" i="11"/>
  <c r="D23" i="11"/>
  <c r="D24" i="11"/>
  <c r="D25" i="11"/>
  <c r="D26" i="11"/>
  <c r="D27" i="11"/>
  <c r="D20" i="19" l="1"/>
  <c r="G20" i="19" s="1"/>
  <c r="D21" i="19"/>
  <c r="G21" i="19" s="1"/>
  <c r="D22" i="19"/>
  <c r="G22" i="19" s="1"/>
  <c r="D23" i="19"/>
  <c r="G23" i="19" s="1"/>
  <c r="A11" i="1"/>
  <c r="AA120" i="18"/>
  <c r="AB120" i="18"/>
  <c r="AC120" i="18"/>
  <c r="AD120" i="18"/>
  <c r="AA104" i="18"/>
  <c r="AA106" i="18" s="1"/>
  <c r="AB104" i="18"/>
  <c r="AB106" i="18" s="1"/>
  <c r="AC104" i="18"/>
  <c r="AC106" i="18" s="1"/>
  <c r="AD104" i="18"/>
  <c r="AD106" i="18" s="1"/>
  <c r="AA85" i="18"/>
  <c r="AB85" i="18"/>
  <c r="AC85" i="18"/>
  <c r="AD85" i="18"/>
  <c r="AA48" i="18"/>
  <c r="AA67" i="18" s="1"/>
  <c r="AA71" i="18" s="1"/>
  <c r="AB48" i="18"/>
  <c r="AC48" i="18"/>
  <c r="AD48" i="18"/>
  <c r="AA32" i="18"/>
  <c r="AA34" i="18" s="1"/>
  <c r="AB32" i="18"/>
  <c r="AC32" i="18"/>
  <c r="AD32" i="18"/>
  <c r="AA20" i="18"/>
  <c r="AB20" i="18"/>
  <c r="AC20" i="18"/>
  <c r="AD20" i="18"/>
  <c r="AA12" i="18"/>
  <c r="AB12" i="18"/>
  <c r="AC12" i="18"/>
  <c r="AD12" i="18"/>
  <c r="AA8" i="18"/>
  <c r="AB8" i="18"/>
  <c r="AC8" i="18"/>
  <c r="AD8" i="18"/>
  <c r="AD34" i="18" s="1"/>
  <c r="AC34" i="18" l="1"/>
  <c r="AC41" i="18" s="1"/>
  <c r="AA122" i="18"/>
  <c r="AA136" i="18" s="1"/>
  <c r="AA140" i="18" s="1"/>
  <c r="AB122" i="18"/>
  <c r="AB136" i="18" s="1"/>
  <c r="AB140" i="18" s="1"/>
  <c r="AB141" i="18" s="1"/>
  <c r="AB34" i="18"/>
  <c r="AB41" i="18" s="1"/>
  <c r="AC67" i="18"/>
  <c r="AC71" i="18" s="1"/>
  <c r="AD67" i="18"/>
  <c r="AD71" i="18" s="1"/>
  <c r="AD41" i="18"/>
  <c r="AB67" i="18"/>
  <c r="AB71" i="18" s="1"/>
  <c r="AA141" i="18"/>
  <c r="AA41" i="18"/>
  <c r="AA142" i="18" s="1"/>
  <c r="AD122" i="18"/>
  <c r="AD136" i="18" s="1"/>
  <c r="AD140" i="18" s="1"/>
  <c r="AD141" i="18" s="1"/>
  <c r="AC122" i="18"/>
  <c r="AC136" i="18" s="1"/>
  <c r="AC140" i="18" s="1"/>
  <c r="AC141" i="18" s="1"/>
  <c r="Y154" i="5"/>
  <c r="AG154" i="5" s="1"/>
  <c r="Y153" i="5"/>
  <c r="AG153" i="5" s="1"/>
  <c r="Y152" i="5"/>
  <c r="AG152" i="5" s="1"/>
  <c r="Y151" i="5"/>
  <c r="AG151" i="5" s="1"/>
  <c r="Y150" i="5"/>
  <c r="AG150" i="5" s="1"/>
  <c r="Y148" i="5"/>
  <c r="AG148" i="5" s="1"/>
  <c r="Y147" i="5"/>
  <c r="AG147" i="5" s="1"/>
  <c r="Y146" i="5"/>
  <c r="AG146" i="5" s="1"/>
  <c r="Y145" i="5"/>
  <c r="AG145" i="5" s="1"/>
  <c r="Y144" i="5"/>
  <c r="AG144" i="5" s="1"/>
  <c r="Y142" i="5"/>
  <c r="AG142" i="5" s="1"/>
  <c r="Y141" i="5"/>
  <c r="AG141" i="5" s="1"/>
  <c r="Y140" i="5"/>
  <c r="AG140" i="5" s="1"/>
  <c r="Y139" i="5"/>
  <c r="AG139" i="5" s="1"/>
  <c r="Y138" i="5"/>
  <c r="AG138" i="5" s="1"/>
  <c r="Y137" i="5"/>
  <c r="AG137" i="5" s="1"/>
  <c r="Y129" i="5"/>
  <c r="AG129" i="5" s="1"/>
  <c r="Y128" i="5"/>
  <c r="AG128" i="5" s="1"/>
  <c r="Y127" i="5"/>
  <c r="AG127" i="5" s="1"/>
  <c r="Y126" i="5"/>
  <c r="AG126" i="5" s="1"/>
  <c r="Y125" i="5"/>
  <c r="AG125" i="5" s="1"/>
  <c r="Y123" i="5"/>
  <c r="AG123" i="5" s="1"/>
  <c r="Y122" i="5"/>
  <c r="AG122" i="5" s="1"/>
  <c r="Y121" i="5"/>
  <c r="AG121" i="5" s="1"/>
  <c r="Y120" i="5"/>
  <c r="AG120" i="5" s="1"/>
  <c r="Y119" i="5"/>
  <c r="AG119" i="5" s="1"/>
  <c r="Y117" i="5"/>
  <c r="AG117" i="5" s="1"/>
  <c r="Y116" i="5"/>
  <c r="AG116" i="5" s="1"/>
  <c r="Y115" i="5"/>
  <c r="AG115" i="5" s="1"/>
  <c r="Y114" i="5"/>
  <c r="AG114" i="5" s="1"/>
  <c r="Y113" i="5"/>
  <c r="AG113" i="5" s="1"/>
  <c r="Z111" i="5"/>
  <c r="Y111" i="5"/>
  <c r="AG111" i="5" s="1"/>
  <c r="Z110" i="5"/>
  <c r="Y110" i="5"/>
  <c r="AG110" i="5" s="1"/>
  <c r="Z109" i="5"/>
  <c r="Y109" i="5"/>
  <c r="AG109" i="5" s="1"/>
  <c r="Z108" i="5"/>
  <c r="Y108" i="5"/>
  <c r="AF108" i="5" s="1"/>
  <c r="Z107" i="5"/>
  <c r="Y107" i="5"/>
  <c r="AG107" i="5" s="1"/>
  <c r="Z105" i="5"/>
  <c r="Y105" i="5"/>
  <c r="AF105" i="5" s="1"/>
  <c r="AH105" i="5" s="1"/>
  <c r="Z104" i="5"/>
  <c r="Y104" i="5"/>
  <c r="AG104" i="5" s="1"/>
  <c r="Z103" i="5"/>
  <c r="Y103" i="5"/>
  <c r="AF103" i="5" s="1"/>
  <c r="Z102" i="5"/>
  <c r="Y102" i="5"/>
  <c r="AG102" i="5" s="1"/>
  <c r="Z101" i="5"/>
  <c r="Y101" i="5"/>
  <c r="Z99" i="5"/>
  <c r="Y99" i="5"/>
  <c r="AG99" i="5" s="1"/>
  <c r="Z98" i="5"/>
  <c r="Y98" i="5"/>
  <c r="AF98" i="5" s="1"/>
  <c r="Z97" i="5"/>
  <c r="Y97" i="5"/>
  <c r="AG97" i="5" s="1"/>
  <c r="Z96" i="5"/>
  <c r="Y96" i="5"/>
  <c r="AF96" i="5" s="1"/>
  <c r="Z95" i="5"/>
  <c r="Y95" i="5"/>
  <c r="AG95" i="5" s="1"/>
  <c r="Z93" i="5"/>
  <c r="Y93" i="5"/>
  <c r="AF93" i="5" s="1"/>
  <c r="Z91" i="5"/>
  <c r="Y91" i="5"/>
  <c r="AG91" i="5" s="1"/>
  <c r="Z90" i="5"/>
  <c r="Y90" i="5"/>
  <c r="AF90" i="5" s="1"/>
  <c r="Z89" i="5"/>
  <c r="Y89" i="5"/>
  <c r="AG89" i="5" s="1"/>
  <c r="Z88" i="5"/>
  <c r="Y88" i="5"/>
  <c r="AF88" i="5" s="1"/>
  <c r="Z87" i="5"/>
  <c r="Y87" i="5"/>
  <c r="AG87" i="5" s="1"/>
  <c r="Z85" i="5"/>
  <c r="Y85" i="5"/>
  <c r="AG85" i="5" s="1"/>
  <c r="Z84" i="5"/>
  <c r="Y84" i="5"/>
  <c r="AG84" i="5" s="1"/>
  <c r="Z83" i="5"/>
  <c r="Y83" i="5"/>
  <c r="AF83" i="5" s="1"/>
  <c r="Z82" i="5"/>
  <c r="Y82" i="5"/>
  <c r="AG82" i="5" s="1"/>
  <c r="Z81" i="5"/>
  <c r="Y81" i="5"/>
  <c r="AG81" i="5" s="1"/>
  <c r="Z79" i="5"/>
  <c r="Y79" i="5"/>
  <c r="AG79" i="5" s="1"/>
  <c r="Z78" i="5"/>
  <c r="Y78" i="5"/>
  <c r="AF78" i="5" s="1"/>
  <c r="Z77" i="5"/>
  <c r="Y77" i="5"/>
  <c r="AG77" i="5" s="1"/>
  <c r="Z76" i="5"/>
  <c r="Y76" i="5"/>
  <c r="AG76" i="5" s="1"/>
  <c r="Z75" i="5"/>
  <c r="Y75" i="5"/>
  <c r="AG75" i="5" s="1"/>
  <c r="Z74" i="5"/>
  <c r="Y74" i="5"/>
  <c r="AF74" i="5" s="1"/>
  <c r="Z72" i="5"/>
  <c r="Y72" i="5"/>
  <c r="AG72" i="5" s="1"/>
  <c r="Z71" i="5"/>
  <c r="Y71" i="5"/>
  <c r="AG71" i="5" s="1"/>
  <c r="Z70" i="5"/>
  <c r="Y70" i="5"/>
  <c r="AG70" i="5" s="1"/>
  <c r="Z69" i="5"/>
  <c r="Y69" i="5"/>
  <c r="AF69" i="5" s="1"/>
  <c r="Z68" i="5"/>
  <c r="Y68" i="5"/>
  <c r="AG68" i="5" s="1"/>
  <c r="Z66" i="5"/>
  <c r="Y66" i="5"/>
  <c r="AF66" i="5" s="1"/>
  <c r="Z65" i="5"/>
  <c r="Y65" i="5"/>
  <c r="AG65" i="5" s="1"/>
  <c r="Z64" i="5"/>
  <c r="Y64" i="5"/>
  <c r="AF64" i="5" s="1"/>
  <c r="Z63" i="5"/>
  <c r="Y63" i="5"/>
  <c r="AG63" i="5" s="1"/>
  <c r="Z62" i="5"/>
  <c r="Y62" i="5"/>
  <c r="Z60" i="5"/>
  <c r="Y60" i="5"/>
  <c r="AG60" i="5" s="1"/>
  <c r="Z59" i="5"/>
  <c r="Y59" i="5"/>
  <c r="AF59" i="5" s="1"/>
  <c r="Z58" i="5"/>
  <c r="Y58" i="5"/>
  <c r="AG58" i="5" s="1"/>
  <c r="Z57" i="5"/>
  <c r="Y57" i="5"/>
  <c r="Z56" i="5"/>
  <c r="Y56" i="5"/>
  <c r="AG56" i="5" s="1"/>
  <c r="Z54" i="5"/>
  <c r="Y54" i="5"/>
  <c r="AF54" i="5" s="1"/>
  <c r="Z53" i="5"/>
  <c r="Y53" i="5"/>
  <c r="AG53" i="5" s="1"/>
  <c r="Z52" i="5"/>
  <c r="Y52" i="5"/>
  <c r="Z51" i="5"/>
  <c r="Y51" i="5"/>
  <c r="AG51" i="5" s="1"/>
  <c r="Z50" i="5"/>
  <c r="Y50" i="5"/>
  <c r="AF50" i="5" s="1"/>
  <c r="Z48" i="5"/>
  <c r="Y48" i="5"/>
  <c r="AF48" i="5" s="1"/>
  <c r="AH48" i="5" s="1"/>
  <c r="Z47" i="5"/>
  <c r="Y47" i="5"/>
  <c r="Z46" i="5"/>
  <c r="Y46" i="5"/>
  <c r="AG46" i="5" s="1"/>
  <c r="Z45" i="5"/>
  <c r="Y45" i="5"/>
  <c r="AF45" i="5" s="1"/>
  <c r="Z44" i="5"/>
  <c r="Y44" i="5"/>
  <c r="AF44" i="5" s="1"/>
  <c r="AH44" i="5" s="1"/>
  <c r="Z42" i="5"/>
  <c r="Y42" i="5"/>
  <c r="AG42" i="5" s="1"/>
  <c r="Z41" i="5"/>
  <c r="Y41" i="5"/>
  <c r="AG41" i="5" s="1"/>
  <c r="Z40" i="5"/>
  <c r="Y40" i="5"/>
  <c r="AF40" i="5" s="1"/>
  <c r="Z39" i="5"/>
  <c r="Y39" i="5"/>
  <c r="AG39" i="5" s="1"/>
  <c r="Z38" i="5"/>
  <c r="Y38" i="5"/>
  <c r="AF38" i="5" s="1"/>
  <c r="Z36" i="5"/>
  <c r="Y36" i="5"/>
  <c r="AG36" i="5" s="1"/>
  <c r="Z35" i="5"/>
  <c r="Y35" i="5"/>
  <c r="AF35" i="5" s="1"/>
  <c r="Z34" i="5"/>
  <c r="Y34" i="5"/>
  <c r="AG34" i="5" s="1"/>
  <c r="Z33" i="5"/>
  <c r="Y33" i="5"/>
  <c r="AG33" i="5" s="1"/>
  <c r="Z32" i="5"/>
  <c r="Y32" i="5"/>
  <c r="AG32" i="5" s="1"/>
  <c r="Z30" i="5"/>
  <c r="Y30" i="5"/>
  <c r="AF30" i="5" s="1"/>
  <c r="Z29" i="5"/>
  <c r="Y29" i="5"/>
  <c r="AG29" i="5" s="1"/>
  <c r="Z28" i="5"/>
  <c r="Y28" i="5"/>
  <c r="AF28" i="5" s="1"/>
  <c r="AH28" i="5" s="1"/>
  <c r="Z27" i="5"/>
  <c r="Y27" i="5"/>
  <c r="AG27" i="5" s="1"/>
  <c r="Z26" i="5"/>
  <c r="Y26" i="5"/>
  <c r="AF26" i="5" s="1"/>
  <c r="Z24" i="5"/>
  <c r="Y24" i="5"/>
  <c r="AG24" i="5" s="1"/>
  <c r="Z23" i="5"/>
  <c r="Y23" i="5"/>
  <c r="AG23" i="5" s="1"/>
  <c r="Z22" i="5"/>
  <c r="Y22" i="5"/>
  <c r="AG22" i="5" s="1"/>
  <c r="Z21" i="5"/>
  <c r="Y21" i="5"/>
  <c r="AF21" i="5" s="1"/>
  <c r="Z20" i="5"/>
  <c r="Y20" i="5"/>
  <c r="AG20" i="5" s="1"/>
  <c r="Z18" i="5"/>
  <c r="Y18" i="5"/>
  <c r="AG18" i="5" s="1"/>
  <c r="Z17" i="5"/>
  <c r="Y17" i="5"/>
  <c r="AG17" i="5" s="1"/>
  <c r="Z16" i="5"/>
  <c r="Y16" i="5"/>
  <c r="AF16" i="5" s="1"/>
  <c r="Z15" i="5"/>
  <c r="Y15" i="5"/>
  <c r="AG15" i="5" s="1"/>
  <c r="Z14" i="5"/>
  <c r="Y14" i="5"/>
  <c r="AG14" i="5" s="1"/>
  <c r="Z12" i="5"/>
  <c r="Y12" i="5"/>
  <c r="AG12" i="5" s="1"/>
  <c r="AG90" i="5" l="1"/>
  <c r="AG105" i="5"/>
  <c r="AF23" i="5"/>
  <c r="AH23" i="5" s="1"/>
  <c r="AG48" i="5"/>
  <c r="AF71" i="5"/>
  <c r="AH71" i="5" s="1"/>
  <c r="AG16" i="5"/>
  <c r="AG30" i="5"/>
  <c r="AH50" i="5"/>
  <c r="AG108" i="5"/>
  <c r="AH45" i="5"/>
  <c r="AH96" i="5"/>
  <c r="AG98" i="5"/>
  <c r="AG96" i="5"/>
  <c r="AG103" i="5"/>
  <c r="AF76" i="5"/>
  <c r="AH76" i="5" s="1"/>
  <c r="AG28" i="5"/>
  <c r="AF101" i="5"/>
  <c r="AH101" i="5" s="1"/>
  <c r="AF18" i="5"/>
  <c r="AH18" i="5" s="1"/>
  <c r="AF39" i="5"/>
  <c r="AG26" i="5"/>
  <c r="AF33" i="5"/>
  <c r="AH33" i="5" s="1"/>
  <c r="AG35" i="5"/>
  <c r="AG50" i="5"/>
  <c r="AF53" i="5"/>
  <c r="AH53" i="5" s="1"/>
  <c r="AF57" i="5"/>
  <c r="AH57" i="5" s="1"/>
  <c r="AH66" i="5"/>
  <c r="AF85" i="5"/>
  <c r="AH90" i="5"/>
  <c r="AG101" i="5"/>
  <c r="AF14" i="5"/>
  <c r="AH14" i="5" s="1"/>
  <c r="AG21" i="5"/>
  <c r="AF34" i="5"/>
  <c r="AH34" i="5" s="1"/>
  <c r="AG45" i="5"/>
  <c r="AG44" i="5"/>
  <c r="AF62" i="5"/>
  <c r="AH62" i="5" s="1"/>
  <c r="AH83" i="5"/>
  <c r="AH59" i="5"/>
  <c r="AH64" i="5"/>
  <c r="AH69" i="5"/>
  <c r="AH88" i="5"/>
  <c r="AF42" i="5"/>
  <c r="AH42" i="5" s="1"/>
  <c r="AF47" i="5"/>
  <c r="AH47" i="5" s="1"/>
  <c r="AF52" i="5"/>
  <c r="AH52" i="5" s="1"/>
  <c r="AG57" i="5"/>
  <c r="AG62" i="5"/>
  <c r="AG66" i="5"/>
  <c r="AG74" i="5"/>
  <c r="AG78" i="5"/>
  <c r="AG93" i="5"/>
  <c r="AH40" i="5"/>
  <c r="AG47" i="5"/>
  <c r="AG52" i="5"/>
  <c r="AG54" i="5"/>
  <c r="AG59" i="5"/>
  <c r="AG64" i="5"/>
  <c r="AG69" i="5"/>
  <c r="AG88" i="5"/>
  <c r="AF111" i="5"/>
  <c r="AH111" i="5" s="1"/>
  <c r="AG83" i="5"/>
  <c r="AF20" i="5"/>
  <c r="AH20" i="5" s="1"/>
  <c r="AF24" i="5"/>
  <c r="AH24" i="5" s="1"/>
  <c r="AF29" i="5"/>
  <c r="AH29" i="5" s="1"/>
  <c r="AF77" i="5"/>
  <c r="AH77" i="5" s="1"/>
  <c r="AF97" i="5"/>
  <c r="AH97" i="5" s="1"/>
  <c r="AF102" i="5"/>
  <c r="AH102" i="5" s="1"/>
  <c r="AF107" i="5"/>
  <c r="AH107" i="5" s="1"/>
  <c r="AF15" i="5"/>
  <c r="AH15" i="5" s="1"/>
  <c r="AG38" i="5"/>
  <c r="AF58" i="5"/>
  <c r="AH58" i="5" s="1"/>
  <c r="AF63" i="5"/>
  <c r="AH63" i="5" s="1"/>
  <c r="AF68" i="5"/>
  <c r="AH68" i="5" s="1"/>
  <c r="AF72" i="5"/>
  <c r="AH72" i="5" s="1"/>
  <c r="AF87" i="5"/>
  <c r="AH87" i="5" s="1"/>
  <c r="AF91" i="5"/>
  <c r="AH91" i="5" s="1"/>
  <c r="AH21" i="5"/>
  <c r="AH26" i="5"/>
  <c r="AH30" i="5"/>
  <c r="AH78" i="5"/>
  <c r="AH98" i="5"/>
  <c r="AH103" i="5"/>
  <c r="AF110" i="5"/>
  <c r="AH110" i="5" s="1"/>
  <c r="AB142" i="18"/>
  <c r="AC142" i="18"/>
  <c r="AD142" i="18"/>
  <c r="AH38" i="5"/>
  <c r="AH39" i="5"/>
  <c r="AG40" i="5"/>
  <c r="AF81" i="5"/>
  <c r="AH81" i="5" s="1"/>
  <c r="AF82" i="5"/>
  <c r="AH82" i="5" s="1"/>
  <c r="AH85" i="5"/>
  <c r="AH108" i="5"/>
  <c r="AH16" i="5"/>
  <c r="AH35" i="5"/>
  <c r="AH54" i="5"/>
  <c r="AH74" i="5"/>
  <c r="AH93" i="5"/>
  <c r="AF113" i="5"/>
  <c r="AF114" i="5"/>
  <c r="AF115" i="5"/>
  <c r="AF116" i="5"/>
  <c r="AF117" i="5"/>
  <c r="AF119" i="5"/>
  <c r="AF120" i="5"/>
  <c r="AF121" i="5"/>
  <c r="AF122" i="5"/>
  <c r="AF123" i="5"/>
  <c r="AF125" i="5"/>
  <c r="AF126" i="5"/>
  <c r="AF127" i="5"/>
  <c r="AF128" i="5"/>
  <c r="AF129" i="5"/>
  <c r="AF137" i="5"/>
  <c r="AF138" i="5"/>
  <c r="AF139" i="5"/>
  <c r="AF140" i="5"/>
  <c r="AF141" i="5"/>
  <c r="AF142" i="5"/>
  <c r="AF144" i="5"/>
  <c r="AF145" i="5"/>
  <c r="AF146" i="5"/>
  <c r="AF147" i="5"/>
  <c r="AF148" i="5"/>
  <c r="AF150" i="5"/>
  <c r="AF151" i="5"/>
  <c r="AF152" i="5"/>
  <c r="AF153" i="5"/>
  <c r="AF154" i="5"/>
  <c r="AF12" i="5"/>
  <c r="AH12" i="5" s="1"/>
  <c r="AF17" i="5"/>
  <c r="AH17" i="5" s="1"/>
  <c r="AF22" i="5"/>
  <c r="AH22" i="5" s="1"/>
  <c r="AF32" i="5"/>
  <c r="AH32" i="5" s="1"/>
  <c r="AF41" i="5"/>
  <c r="AH41" i="5" s="1"/>
  <c r="AF46" i="5"/>
  <c r="AH46" i="5" s="1"/>
  <c r="AF51" i="5"/>
  <c r="AH51" i="5" s="1"/>
  <c r="AF56" i="5"/>
  <c r="AH56" i="5" s="1"/>
  <c r="AF60" i="5"/>
  <c r="AH60" i="5" s="1"/>
  <c r="AF65" i="5"/>
  <c r="AH65" i="5" s="1"/>
  <c r="AF70" i="5"/>
  <c r="AH70" i="5" s="1"/>
  <c r="AF75" i="5"/>
  <c r="AH75" i="5" s="1"/>
  <c r="AF79" i="5"/>
  <c r="AH79" i="5" s="1"/>
  <c r="AF84" i="5"/>
  <c r="AH84" i="5" s="1"/>
  <c r="AF89" i="5"/>
  <c r="AH89" i="5" s="1"/>
  <c r="AF95" i="5"/>
  <c r="AH95" i="5" s="1"/>
  <c r="AF99" i="5"/>
  <c r="AH99" i="5" s="1"/>
  <c r="AF104" i="5"/>
  <c r="AH104" i="5" s="1"/>
  <c r="AF109" i="5"/>
  <c r="AH109" i="5" s="1"/>
  <c r="AF27" i="5"/>
  <c r="AH27" i="5" s="1"/>
  <c r="AF36" i="5"/>
  <c r="AH36" i="5" s="1"/>
  <c r="O44" i="1" l="1"/>
  <c r="E1" i="6" l="1"/>
  <c r="E4" i="6"/>
  <c r="H29" i="12" l="1"/>
  <c r="N29" i="12" s="1"/>
  <c r="M48" i="1" l="1"/>
  <c r="G48" i="1"/>
  <c r="E3" i="13"/>
  <c r="K48" i="1" l="1"/>
  <c r="G41" i="3"/>
  <c r="O41" i="3" s="1"/>
  <c r="G49" i="13"/>
  <c r="H92" i="4"/>
  <c r="K76" i="1" l="1"/>
  <c r="K71" i="1"/>
  <c r="O26" i="1"/>
  <c r="E8" i="13" l="1"/>
  <c r="J130" i="13" s="1"/>
  <c r="J51" i="13" l="1"/>
  <c r="J52" i="13"/>
  <c r="J172" i="13"/>
  <c r="J166" i="13"/>
  <c r="J149" i="13"/>
  <c r="J139" i="13"/>
  <c r="J135" i="13"/>
  <c r="J107" i="13"/>
  <c r="J90" i="13"/>
  <c r="J84" i="13"/>
  <c r="J76" i="13"/>
  <c r="J46" i="13"/>
  <c r="J150" i="13"/>
  <c r="J131" i="13"/>
  <c r="J95" i="13"/>
  <c r="J59" i="13"/>
  <c r="J171" i="13"/>
  <c r="J165" i="13"/>
  <c r="J148" i="13"/>
  <c r="J138" i="13"/>
  <c r="J134" i="13"/>
  <c r="J115" i="13"/>
  <c r="J101" i="13"/>
  <c r="J89" i="13"/>
  <c r="J83" i="13"/>
  <c r="J75" i="13"/>
  <c r="J50" i="13"/>
  <c r="J45" i="13"/>
  <c r="J169" i="13"/>
  <c r="J146" i="13"/>
  <c r="J110" i="13"/>
  <c r="J77" i="13"/>
  <c r="J43" i="13"/>
  <c r="J170" i="13"/>
  <c r="J151" i="13"/>
  <c r="J147" i="13"/>
  <c r="J137" i="13"/>
  <c r="J132" i="13"/>
  <c r="J114" i="13"/>
  <c r="J96" i="13"/>
  <c r="J87" i="13"/>
  <c r="J82" i="13"/>
  <c r="J74" i="13"/>
  <c r="J49" i="13"/>
  <c r="L49" i="13" s="1"/>
  <c r="J44" i="13"/>
  <c r="J183" i="13"/>
  <c r="J136" i="13"/>
  <c r="J85" i="13"/>
  <c r="J48" i="13"/>
  <c r="J38" i="13"/>
  <c r="J33" i="13"/>
  <c r="J37" i="13"/>
  <c r="J36" i="13"/>
  <c r="J35" i="13"/>
  <c r="J116" i="13"/>
  <c r="O33" i="1"/>
  <c r="G36" i="13" s="1"/>
  <c r="O34" i="1"/>
  <c r="G37" i="13" s="1"/>
  <c r="L33" i="13" l="1"/>
  <c r="N33" i="13" s="1"/>
  <c r="N49" i="13"/>
  <c r="J118" i="13"/>
  <c r="J53" i="13"/>
  <c r="L36" i="13"/>
  <c r="N36" i="13" s="1"/>
  <c r="L37" i="13"/>
  <c r="N37" i="13" s="1"/>
  <c r="G30" i="3" l="1"/>
  <c r="G31" i="3"/>
  <c r="O31" i="3" s="1"/>
  <c r="M36" i="1"/>
  <c r="O36" i="1" s="1"/>
  <c r="O30" i="3" l="1"/>
  <c r="G33" i="3"/>
  <c r="B325" i="10"/>
  <c r="B314" i="10"/>
  <c r="B313" i="10" l="1"/>
  <c r="C310" i="10"/>
  <c r="C311" i="10"/>
  <c r="C312" i="10"/>
  <c r="E8" i="6" l="1"/>
  <c r="D13" i="19" l="1"/>
  <c r="I55" i="4" l="1"/>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54" i="4"/>
  <c r="G6" i="15" l="1"/>
  <c r="E6" i="13"/>
  <c r="G5" i="15"/>
  <c r="G4" i="15"/>
  <c r="G3" i="15"/>
  <c r="C3" i="5" l="1"/>
  <c r="AI135" i="5"/>
  <c r="AI133" i="5"/>
  <c r="AI132" i="5"/>
  <c r="AI134" i="5"/>
  <c r="AI131" i="5"/>
  <c r="AI79" i="5"/>
  <c r="AI76" i="5"/>
  <c r="AI153" i="5"/>
  <c r="AI148" i="5"/>
  <c r="AI144" i="5"/>
  <c r="AI128" i="5"/>
  <c r="AI77" i="5"/>
  <c r="AI74" i="5"/>
  <c r="AI152" i="5"/>
  <c r="AI147" i="5"/>
  <c r="AI142" i="5"/>
  <c r="AI138" i="5"/>
  <c r="AI127" i="5"/>
  <c r="AI122" i="5"/>
  <c r="AI117" i="5"/>
  <c r="AI113" i="5"/>
  <c r="AI108" i="5"/>
  <c r="AI103" i="5"/>
  <c r="AI98" i="5"/>
  <c r="AI91" i="5"/>
  <c r="AI87" i="5"/>
  <c r="AI82" i="5"/>
  <c r="AI70" i="5"/>
  <c r="AI65" i="5"/>
  <c r="AI60" i="5"/>
  <c r="AI56" i="5"/>
  <c r="AI51" i="5"/>
  <c r="AI46" i="5"/>
  <c r="AI41" i="5"/>
  <c r="AI36" i="5"/>
  <c r="AI32" i="5"/>
  <c r="AI27" i="5"/>
  <c r="AI22" i="5"/>
  <c r="AI15" i="5"/>
  <c r="AI12" i="5"/>
  <c r="AI78" i="5"/>
  <c r="AI93" i="5"/>
  <c r="AI151" i="5"/>
  <c r="AI146" i="5"/>
  <c r="AI141" i="5"/>
  <c r="AI137" i="5"/>
  <c r="AI126" i="5"/>
  <c r="AI121" i="5"/>
  <c r="AI116" i="5"/>
  <c r="AI111" i="5"/>
  <c r="AI107" i="5"/>
  <c r="AI102" i="5"/>
  <c r="AI97" i="5"/>
  <c r="AI90" i="5"/>
  <c r="AI85" i="5"/>
  <c r="AI81" i="5"/>
  <c r="AI69" i="5"/>
  <c r="AI64" i="5"/>
  <c r="AI59" i="5"/>
  <c r="AI54" i="5"/>
  <c r="AI50" i="5"/>
  <c r="AI45" i="5"/>
  <c r="AI40" i="5"/>
  <c r="AI35" i="5"/>
  <c r="AI30" i="5"/>
  <c r="AI26" i="5"/>
  <c r="AI21" i="5"/>
  <c r="AI16" i="5"/>
  <c r="AI75" i="5"/>
  <c r="AI154" i="5"/>
  <c r="AI150" i="5"/>
  <c r="AI145" i="5"/>
  <c r="AI140" i="5"/>
  <c r="AI129" i="5"/>
  <c r="AI125" i="5"/>
  <c r="AI120" i="5"/>
  <c r="AI115" i="5"/>
  <c r="AI110" i="5"/>
  <c r="AI105" i="5"/>
  <c r="AI101" i="5"/>
  <c r="AI96" i="5"/>
  <c r="AI89" i="5"/>
  <c r="AI84" i="5"/>
  <c r="AI72" i="5"/>
  <c r="AI68" i="5"/>
  <c r="AI63" i="5"/>
  <c r="AI58" i="5"/>
  <c r="AI53" i="5"/>
  <c r="AI48" i="5"/>
  <c r="AI44" i="5"/>
  <c r="AI39" i="5"/>
  <c r="AI34" i="5"/>
  <c r="AI29" i="5"/>
  <c r="AI24" i="5"/>
  <c r="AI20" i="5"/>
  <c r="AI17" i="5"/>
  <c r="AI139" i="5"/>
  <c r="AI109" i="5"/>
  <c r="AI88" i="5"/>
  <c r="AI62" i="5"/>
  <c r="AI42" i="5"/>
  <c r="AI23" i="5"/>
  <c r="AI123" i="5"/>
  <c r="AI104" i="5"/>
  <c r="AI83" i="5"/>
  <c r="AI57" i="5"/>
  <c r="AI38" i="5"/>
  <c r="AI18" i="5"/>
  <c r="AI119" i="5"/>
  <c r="AI99" i="5"/>
  <c r="AI71" i="5"/>
  <c r="AI52" i="5"/>
  <c r="AI33" i="5"/>
  <c r="AI14" i="5"/>
  <c r="AI114" i="5"/>
  <c r="AI95" i="5"/>
  <c r="AI66" i="5"/>
  <c r="AI47" i="5"/>
  <c r="AI28" i="5"/>
  <c r="A12" i="6"/>
  <c r="C337" i="10" l="1"/>
  <c r="C60" i="9" l="1"/>
  <c r="C61" i="9"/>
  <c r="C62" i="9"/>
  <c r="C63" i="9"/>
  <c r="C64" i="9"/>
  <c r="C65" i="9"/>
  <c r="C66" i="9"/>
  <c r="C59" i="9"/>
  <c r="C53" i="9"/>
  <c r="C52" i="9"/>
  <c r="C51" i="9"/>
  <c r="C50" i="9"/>
  <c r="C49" i="9"/>
  <c r="C48" i="9"/>
  <c r="C47" i="9"/>
  <c r="C46" i="9"/>
  <c r="H112" i="4" l="1"/>
  <c r="I112" i="4" s="1"/>
  <c r="H111" i="4"/>
  <c r="I111" i="4" s="1"/>
  <c r="H110" i="4"/>
  <c r="I110" i="4" s="1"/>
  <c r="H109" i="4"/>
  <c r="I109" i="4" s="1"/>
  <c r="H108" i="4"/>
  <c r="I108" i="4" s="1"/>
  <c r="H107" i="4"/>
  <c r="I107" i="4" s="1"/>
  <c r="H106" i="4"/>
  <c r="I106" i="4" s="1"/>
  <c r="H105" i="4"/>
  <c r="I105" i="4" s="1"/>
  <c r="H104" i="4"/>
  <c r="I104" i="4" s="1"/>
  <c r="H103"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A198" i="10" l="1"/>
  <c r="C199" i="10" s="1"/>
  <c r="C169" i="10"/>
  <c r="D41" i="11" l="1"/>
  <c r="D40" i="11"/>
  <c r="D39" i="11"/>
  <c r="D38" i="11"/>
  <c r="D37" i="11"/>
  <c r="D36" i="11"/>
  <c r="D35" i="11"/>
  <c r="D34" i="11"/>
  <c r="F146" i="4" l="1"/>
  <c r="G146" i="4" s="1"/>
  <c r="F147" i="4"/>
  <c r="G147" i="4" s="1"/>
  <c r="F148" i="4"/>
  <c r="G148" i="4" s="1"/>
  <c r="F149" i="4"/>
  <c r="G149" i="4" s="1"/>
  <c r="F150" i="4"/>
  <c r="G150" i="4" s="1"/>
  <c r="F151" i="4"/>
  <c r="G151" i="4" s="1"/>
  <c r="F152" i="4"/>
  <c r="G152" i="4" s="1"/>
  <c r="F153" i="4"/>
  <c r="G153" i="4" s="1"/>
  <c r="F154" i="4"/>
  <c r="G154" i="4" s="1"/>
  <c r="D28" i="8" l="1"/>
  <c r="B28" i="8"/>
  <c r="M80" i="1" l="1"/>
  <c r="M84" i="1"/>
  <c r="M86" i="1" s="1"/>
  <c r="M144" i="1"/>
  <c r="I80" i="1"/>
  <c r="G80" i="1"/>
  <c r="K80" i="1" s="1"/>
  <c r="D8" i="4" l="1"/>
  <c r="B273" i="10" l="1"/>
  <c r="B279" i="10" l="1"/>
  <c r="B280" i="10"/>
  <c r="B40" i="9"/>
  <c r="B39" i="9"/>
  <c r="B38" i="9"/>
  <c r="B37" i="9"/>
  <c r="B36" i="9"/>
  <c r="B35" i="9"/>
  <c r="B34" i="9"/>
  <c r="B33" i="9"/>
  <c r="B21" i="9"/>
  <c r="B22" i="9"/>
  <c r="B23" i="9"/>
  <c r="B24" i="9"/>
  <c r="B25" i="9"/>
  <c r="B26" i="9"/>
  <c r="B27" i="9"/>
  <c r="B20" i="9"/>
  <c r="F112" i="4" l="1"/>
  <c r="F111" i="4"/>
  <c r="F110" i="4"/>
  <c r="F109" i="4"/>
  <c r="F108" i="4"/>
  <c r="F107" i="4"/>
  <c r="F106" i="4"/>
  <c r="F105" i="4"/>
  <c r="F104" i="4"/>
  <c r="F103"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C195" i="10" l="1"/>
  <c r="A130" i="10"/>
  <c r="C131" i="10" s="1"/>
  <c r="A123" i="10"/>
  <c r="C114" i="10"/>
  <c r="A204" i="10" l="1"/>
  <c r="A205" i="10" l="1"/>
  <c r="B326" i="10"/>
  <c r="C328" i="10" s="1"/>
  <c r="A206" i="10" l="1"/>
  <c r="B315" i="10"/>
  <c r="C317" i="10" s="1"/>
  <c r="A208" i="10" l="1"/>
  <c r="H24" i="4"/>
  <c r="E96" i="3" l="1"/>
  <c r="M202" i="3" l="1"/>
  <c r="K202" i="3"/>
  <c r="G144" i="1"/>
  <c r="C3" i="16" l="1"/>
  <c r="B4" i="14" l="1"/>
  <c r="B5" i="14"/>
  <c r="B6" i="14"/>
  <c r="A212" i="10"/>
  <c r="A213" i="10" s="1"/>
  <c r="A214" i="10" s="1"/>
  <c r="C209" i="10"/>
  <c r="A196" i="10"/>
  <c r="C197" i="10" s="1"/>
  <c r="A185" i="10"/>
  <c r="A184" i="10"/>
  <c r="A183" i="10"/>
  <c r="A182" i="10"/>
  <c r="A187" i="10" s="1"/>
  <c r="C189" i="10" s="1"/>
  <c r="A175" i="10"/>
  <c r="A173" i="10"/>
  <c r="A172" i="10"/>
  <c r="A171" i="10"/>
  <c r="A170" i="10"/>
  <c r="A145" i="10"/>
  <c r="C146" i="10" s="1"/>
  <c r="A142" i="10"/>
  <c r="A138" i="10"/>
  <c r="C139" i="10" s="1"/>
  <c r="A134" i="10"/>
  <c r="C135" i="10" s="1"/>
  <c r="B19" i="10"/>
  <c r="B21" i="10"/>
  <c r="B20" i="10"/>
  <c r="B3" i="8"/>
  <c r="B4" i="8"/>
  <c r="B5" i="8"/>
  <c r="C5" i="2"/>
  <c r="C3" i="2"/>
  <c r="C4" i="2"/>
  <c r="C6" i="2"/>
  <c r="D5" i="4"/>
  <c r="E3" i="3"/>
  <c r="E4" i="3"/>
  <c r="E5" i="3"/>
  <c r="E6" i="3"/>
  <c r="C190" i="10" l="1"/>
  <c r="C191" i="10"/>
  <c r="C188" i="10"/>
  <c r="A177" i="10"/>
  <c r="A178" i="10" s="1"/>
  <c r="C179" i="10" s="1"/>
  <c r="C176" i="10"/>
  <c r="A192" i="10"/>
  <c r="C193" i="10" s="1"/>
  <c r="A215" i="10"/>
  <c r="A216" i="10"/>
  <c r="C217" i="10" s="1"/>
  <c r="A207" i="10"/>
  <c r="C4" i="16"/>
  <c r="E7" i="6" l="1"/>
  <c r="B6" i="7"/>
  <c r="B3" i="10" l="1"/>
  <c r="A4" i="16"/>
  <c r="A3" i="16"/>
  <c r="H30" i="12" l="1"/>
  <c r="N30" i="12" s="1"/>
  <c r="H31" i="12"/>
  <c r="N31" i="12" s="1"/>
  <c r="H32" i="12"/>
  <c r="N32" i="12" s="1"/>
  <c r="H33" i="12"/>
  <c r="N33" i="12" s="1"/>
  <c r="H34" i="12"/>
  <c r="N34" i="12" s="1"/>
  <c r="B265" i="10" l="1"/>
  <c r="B269" i="10" l="1"/>
  <c r="B270" i="10"/>
  <c r="A302" i="10"/>
  <c r="C303" i="10" s="1"/>
  <c r="B300" i="10"/>
  <c r="B292" i="10"/>
  <c r="O115" i="3" l="1"/>
  <c r="B3" i="14"/>
  <c r="B1" i="14"/>
  <c r="G110" i="3" l="1"/>
  <c r="O110" i="3" s="1"/>
  <c r="G101" i="13"/>
  <c r="G59" i="13"/>
  <c r="G52" i="3"/>
  <c r="O52" i="3" s="1"/>
  <c r="B223" i="10" s="1"/>
  <c r="B237" i="10" l="1"/>
  <c r="B238" i="10"/>
  <c r="D15" i="19"/>
  <c r="G15" i="19" s="1"/>
  <c r="BS43" i="6"/>
  <c r="BS46" i="6"/>
  <c r="O167" i="3"/>
  <c r="C8" i="7"/>
  <c r="O100" i="1"/>
  <c r="O102" i="1"/>
  <c r="O103" i="1"/>
  <c r="O97" i="1"/>
  <c r="S97" i="1" s="1"/>
  <c r="O98" i="1"/>
  <c r="S98" i="1" s="1"/>
  <c r="O99" i="1"/>
  <c r="S99" i="1" s="1"/>
  <c r="C8" i="2"/>
  <c r="C1" i="2"/>
  <c r="B8" i="12"/>
  <c r="J23" i="12" s="1"/>
  <c r="J36" i="12" s="1"/>
  <c r="O95" i="1"/>
  <c r="O96" i="1"/>
  <c r="I84" i="1"/>
  <c r="G84" i="1"/>
  <c r="G28" i="1"/>
  <c r="G50" i="1" s="1"/>
  <c r="M33" i="15"/>
  <c r="M32" i="15"/>
  <c r="M31" i="15"/>
  <c r="M27" i="15"/>
  <c r="M26" i="15"/>
  <c r="M25" i="15"/>
  <c r="M21" i="15"/>
  <c r="M20" i="15"/>
  <c r="J34" i="15"/>
  <c r="J28" i="15"/>
  <c r="J22" i="15"/>
  <c r="G34" i="15"/>
  <c r="G28" i="15"/>
  <c r="G22" i="15"/>
  <c r="D34" i="15"/>
  <c r="D28" i="15"/>
  <c r="D36" i="15" s="1"/>
  <c r="D22" i="15"/>
  <c r="D62" i="14"/>
  <c r="D61" i="14"/>
  <c r="D60" i="14"/>
  <c r="D59" i="14"/>
  <c r="D58" i="14"/>
  <c r="D57" i="14"/>
  <c r="D56" i="14"/>
  <c r="D55" i="14"/>
  <c r="D54" i="14"/>
  <c r="D53" i="14"/>
  <c r="D52" i="14"/>
  <c r="D51" i="14"/>
  <c r="D50" i="14"/>
  <c r="D49" i="14"/>
  <c r="D48" i="14"/>
  <c r="D47" i="14"/>
  <c r="O82" i="1"/>
  <c r="G95" i="13" s="1"/>
  <c r="O83" i="1"/>
  <c r="G96" i="13" s="1"/>
  <c r="D20" i="14"/>
  <c r="C20" i="14"/>
  <c r="B20" i="14"/>
  <c r="G128" i="1"/>
  <c r="G130" i="1" s="1"/>
  <c r="G146" i="1" s="1"/>
  <c r="I128" i="1"/>
  <c r="I130" i="1" s="1"/>
  <c r="I144" i="1"/>
  <c r="K144" i="1" s="1"/>
  <c r="O133" i="1"/>
  <c r="O134" i="1"/>
  <c r="G147" i="13" s="1"/>
  <c r="O135" i="1"/>
  <c r="S135" i="1" s="1"/>
  <c r="O136" i="1"/>
  <c r="O137" i="1"/>
  <c r="O138" i="1"/>
  <c r="K141" i="1"/>
  <c r="O141" i="1" s="1"/>
  <c r="G154" i="13" s="1"/>
  <c r="K142" i="1"/>
  <c r="O142" i="1" s="1"/>
  <c r="G200" i="3" s="1"/>
  <c r="O200" i="3" s="1"/>
  <c r="S200" i="3" s="1"/>
  <c r="O118" i="1"/>
  <c r="O119" i="1"/>
  <c r="O120" i="1"/>
  <c r="O122" i="1"/>
  <c r="S122" i="1" s="1"/>
  <c r="O123" i="1"/>
  <c r="O124" i="1"/>
  <c r="O125" i="1"/>
  <c r="S125" i="1" s="1"/>
  <c r="O126" i="1"/>
  <c r="G138" i="13" s="1"/>
  <c r="O127" i="1"/>
  <c r="O148" i="1"/>
  <c r="O149" i="1"/>
  <c r="O152" i="1"/>
  <c r="O153" i="1"/>
  <c r="S153" i="1" s="1"/>
  <c r="O154" i="1"/>
  <c r="O155" i="1"/>
  <c r="O156" i="1"/>
  <c r="G173" i="13" s="1"/>
  <c r="O157" i="1"/>
  <c r="S157" i="1" s="1"/>
  <c r="O158" i="1"/>
  <c r="O159" i="1"/>
  <c r="O160" i="1"/>
  <c r="M128" i="1"/>
  <c r="M130" i="1" s="1"/>
  <c r="M146" i="1" s="1"/>
  <c r="O40" i="1"/>
  <c r="G37" i="3" s="1"/>
  <c r="O37" i="3" s="1"/>
  <c r="S37" i="3" s="1"/>
  <c r="O41" i="1"/>
  <c r="O104" i="1"/>
  <c r="S104" i="1" s="1"/>
  <c r="O71" i="1"/>
  <c r="G82" i="13" s="1"/>
  <c r="O75" i="1"/>
  <c r="O78" i="1"/>
  <c r="O65" i="1"/>
  <c r="G70" i="3" s="1"/>
  <c r="O70" i="3" s="1"/>
  <c r="S70" i="3" s="1"/>
  <c r="O66" i="1"/>
  <c r="G71" i="3" s="1"/>
  <c r="O67" i="1"/>
  <c r="G72" i="3" s="1"/>
  <c r="O72" i="3" s="1"/>
  <c r="S72" i="3" s="1"/>
  <c r="O68" i="1"/>
  <c r="G73" i="3" s="1"/>
  <c r="O72" i="1"/>
  <c r="G42" i="9" s="1"/>
  <c r="O73" i="1"/>
  <c r="G77" i="3" s="1"/>
  <c r="O74" i="1"/>
  <c r="G78" i="3" s="1"/>
  <c r="O78" i="3" s="1"/>
  <c r="O19" i="1"/>
  <c r="G16" i="3" s="1"/>
  <c r="O20" i="1"/>
  <c r="O21" i="1"/>
  <c r="O22" i="1"/>
  <c r="G92" i="4" s="1"/>
  <c r="O23" i="1"/>
  <c r="H132" i="4" s="1"/>
  <c r="M24" i="1"/>
  <c r="O27" i="1"/>
  <c r="M28" i="1"/>
  <c r="O32" i="1"/>
  <c r="G29" i="3" s="1"/>
  <c r="O29" i="3" s="1"/>
  <c r="O35" i="1"/>
  <c r="O38" i="1"/>
  <c r="S38" i="1" s="1"/>
  <c r="O39" i="1"/>
  <c r="G36" i="3" s="1"/>
  <c r="O46" i="1"/>
  <c r="G51" i="13" s="1"/>
  <c r="O47" i="1"/>
  <c r="S47" i="1" s="1"/>
  <c r="O45" i="1"/>
  <c r="G42" i="3" s="1"/>
  <c r="O42" i="3" s="1"/>
  <c r="S42" i="3" s="1"/>
  <c r="D21" i="8"/>
  <c r="D29" i="8" s="1"/>
  <c r="B21" i="8"/>
  <c r="G113" i="4"/>
  <c r="K74" i="3"/>
  <c r="O170" i="3"/>
  <c r="S170" i="3" s="1"/>
  <c r="O169" i="3"/>
  <c r="S169" i="3" s="1"/>
  <c r="O168" i="3"/>
  <c r="S168" i="3" s="1"/>
  <c r="O164" i="3"/>
  <c r="S164" i="3" s="1"/>
  <c r="O163" i="3"/>
  <c r="S163" i="3" s="1"/>
  <c r="O160" i="3"/>
  <c r="S160" i="3" s="1"/>
  <c r="O159" i="3"/>
  <c r="S159" i="3" s="1"/>
  <c r="O158" i="3"/>
  <c r="S158" i="3" s="1"/>
  <c r="O156" i="3"/>
  <c r="S156" i="3" s="1"/>
  <c r="O155" i="3"/>
  <c r="S155" i="3" s="1"/>
  <c r="O154" i="3"/>
  <c r="S154" i="3" s="1"/>
  <c r="O152" i="3"/>
  <c r="S152" i="3" s="1"/>
  <c r="O151" i="3"/>
  <c r="S151" i="3" s="1"/>
  <c r="O150" i="3"/>
  <c r="S150" i="3" s="1"/>
  <c r="O148" i="3"/>
  <c r="S148" i="3" s="1"/>
  <c r="O147" i="3"/>
  <c r="S147" i="3" s="1"/>
  <c r="O146" i="3"/>
  <c r="S146" i="3" s="1"/>
  <c r="O144" i="3"/>
  <c r="S144" i="3" s="1"/>
  <c r="O143" i="3"/>
  <c r="S143" i="3" s="1"/>
  <c r="O142" i="3"/>
  <c r="S142" i="3" s="1"/>
  <c r="O126" i="3"/>
  <c r="S126" i="3" s="1"/>
  <c r="O124" i="3"/>
  <c r="S124" i="3" s="1"/>
  <c r="O122" i="3"/>
  <c r="S122" i="3" s="1"/>
  <c r="O121" i="3"/>
  <c r="S121" i="3" s="1"/>
  <c r="O120" i="3"/>
  <c r="S120" i="3" s="1"/>
  <c r="O118" i="3"/>
  <c r="S118" i="3" s="1"/>
  <c r="M97" i="3"/>
  <c r="K97" i="3"/>
  <c r="M84" i="3"/>
  <c r="K84" i="3"/>
  <c r="M74" i="3"/>
  <c r="Q128" i="1"/>
  <c r="Q130" i="1" s="1"/>
  <c r="Q95" i="1"/>
  <c r="Q96" i="1"/>
  <c r="Q69" i="1"/>
  <c r="Q80" i="1"/>
  <c r="Q84" i="1"/>
  <c r="Q24" i="1"/>
  <c r="Q28" i="1"/>
  <c r="Q36" i="1"/>
  <c r="Q48" i="1"/>
  <c r="Z104" i="18"/>
  <c r="E104" i="18"/>
  <c r="T104" i="18"/>
  <c r="H104" i="18"/>
  <c r="I104" i="18"/>
  <c r="V104" i="18"/>
  <c r="W104" i="18"/>
  <c r="K104" i="18"/>
  <c r="Q104" i="18"/>
  <c r="R104" i="18"/>
  <c r="G104" i="18"/>
  <c r="L104" i="18"/>
  <c r="M104" i="18"/>
  <c r="Y104" i="18"/>
  <c r="U104" i="18"/>
  <c r="C6" i="17"/>
  <c r="E112" i="1"/>
  <c r="E111" i="1"/>
  <c r="E58" i="1"/>
  <c r="E57" i="1"/>
  <c r="C8" i="17"/>
  <c r="C5" i="17"/>
  <c r="C4" i="17"/>
  <c r="C3" i="17"/>
  <c r="C1" i="17"/>
  <c r="E124" i="13"/>
  <c r="E4" i="13"/>
  <c r="E1" i="13"/>
  <c r="B6" i="12"/>
  <c r="B5" i="12"/>
  <c r="B4" i="12"/>
  <c r="B3" i="12"/>
  <c r="B1" i="12"/>
  <c r="B8" i="11"/>
  <c r="B6" i="11"/>
  <c r="B5" i="11"/>
  <c r="B4" i="11"/>
  <c r="B3" i="11"/>
  <c r="B1" i="11"/>
  <c r="B8" i="10"/>
  <c r="B6" i="10"/>
  <c r="B5" i="10"/>
  <c r="B4" i="10"/>
  <c r="B1" i="10"/>
  <c r="B6" i="9"/>
  <c r="B5" i="9"/>
  <c r="B4" i="9"/>
  <c r="B3" i="9"/>
  <c r="B1" i="9"/>
  <c r="B8" i="8"/>
  <c r="B6" i="8"/>
  <c r="B1" i="8"/>
  <c r="B5" i="7"/>
  <c r="B4" i="7"/>
  <c r="B3" i="7"/>
  <c r="B1" i="7"/>
  <c r="E6" i="6"/>
  <c r="E5" i="6"/>
  <c r="D9" i="4"/>
  <c r="D7" i="4"/>
  <c r="D6" i="4"/>
  <c r="E8" i="3"/>
  <c r="E177" i="3" s="1"/>
  <c r="E178" i="3"/>
  <c r="E1" i="3"/>
  <c r="C64" i="14"/>
  <c r="O87" i="3"/>
  <c r="O88" i="3"/>
  <c r="O89" i="3"/>
  <c r="O90" i="3"/>
  <c r="B8" i="14"/>
  <c r="C27" i="14" s="1"/>
  <c r="B29" i="14"/>
  <c r="B28" i="14"/>
  <c r="B27" i="14"/>
  <c r="H64" i="6"/>
  <c r="M93" i="3"/>
  <c r="K93" i="3"/>
  <c r="M172" i="3"/>
  <c r="K172" i="3"/>
  <c r="D4" i="19"/>
  <c r="G4" i="19" s="1"/>
  <c r="G9" i="19"/>
  <c r="D10" i="19"/>
  <c r="G10" i="19" s="1"/>
  <c r="C153" i="10"/>
  <c r="J27" i="13"/>
  <c r="BP64" i="6"/>
  <c r="BM64" i="6"/>
  <c r="BJ64" i="6"/>
  <c r="BG64" i="6"/>
  <c r="BD64" i="6"/>
  <c r="AX64" i="6"/>
  <c r="AU64" i="6"/>
  <c r="AR64" i="6"/>
  <c r="AL64" i="6"/>
  <c r="AI64" i="6"/>
  <c r="AC64" i="6"/>
  <c r="Z64" i="6"/>
  <c r="W64" i="6"/>
  <c r="T64" i="6"/>
  <c r="Q64" i="6"/>
  <c r="N64" i="6"/>
  <c r="K64" i="6"/>
  <c r="K196" i="3"/>
  <c r="M196" i="3"/>
  <c r="O191" i="3"/>
  <c r="S191" i="3" s="1"/>
  <c r="O192" i="3"/>
  <c r="S192" i="3" s="1"/>
  <c r="O193" i="3"/>
  <c r="O194" i="3"/>
  <c r="S194" i="3" s="1"/>
  <c r="O195" i="3"/>
  <c r="S195" i="3" s="1"/>
  <c r="O162" i="3"/>
  <c r="S162" i="3" s="1"/>
  <c r="K106" i="3"/>
  <c r="M106" i="3"/>
  <c r="O95" i="3"/>
  <c r="S95" i="3" s="1"/>
  <c r="O96" i="3"/>
  <c r="S96" i="3" s="1"/>
  <c r="O99" i="3"/>
  <c r="S99" i="3" s="1"/>
  <c r="O100" i="3"/>
  <c r="O101" i="3"/>
  <c r="O102" i="3"/>
  <c r="O103" i="3"/>
  <c r="O105" i="3"/>
  <c r="S105" i="3" s="1"/>
  <c r="K45" i="3"/>
  <c r="M45" i="3"/>
  <c r="O47" i="3"/>
  <c r="N22" i="15" s="1"/>
  <c r="O48" i="3"/>
  <c r="S48" i="3" s="1"/>
  <c r="A11" i="8"/>
  <c r="A11" i="9" s="1"/>
  <c r="BS15" i="6"/>
  <c r="BS23" i="6"/>
  <c r="BS25" i="6"/>
  <c r="AE8" i="18"/>
  <c r="AE20" i="18"/>
  <c r="AE85" i="18"/>
  <c r="AE120" i="18"/>
  <c r="G1" i="15"/>
  <c r="X104" i="18"/>
  <c r="Y120" i="18"/>
  <c r="P104" i="18"/>
  <c r="K120" i="18"/>
  <c r="N104" i="18"/>
  <c r="N106" i="18" s="1"/>
  <c r="J120" i="18"/>
  <c r="AE104" i="18"/>
  <c r="AE106" i="18" s="1"/>
  <c r="AE48" i="18"/>
  <c r="AE60" i="18"/>
  <c r="AE65" i="18"/>
  <c r="AE12" i="18"/>
  <c r="AE32" i="18"/>
  <c r="AE34" i="18" s="1"/>
  <c r="A11" i="15"/>
  <c r="A11" i="3"/>
  <c r="A138" i="3" s="1"/>
  <c r="O123" i="3"/>
  <c r="S123" i="3" s="1"/>
  <c r="BS24" i="6"/>
  <c r="D19" i="19"/>
  <c r="G19" i="19" s="1"/>
  <c r="D16" i="19"/>
  <c r="G16" i="19" s="1"/>
  <c r="D6" i="19"/>
  <c r="G6" i="19" s="1"/>
  <c r="D7" i="19"/>
  <c r="G7" i="19" s="1"/>
  <c r="D18" i="19"/>
  <c r="G18" i="19" s="1"/>
  <c r="D14" i="19"/>
  <c r="G14" i="19" s="1"/>
  <c r="D12" i="19"/>
  <c r="G12" i="19" s="1"/>
  <c r="G13" i="19"/>
  <c r="D8" i="19"/>
  <c r="G8" i="19" s="1"/>
  <c r="D11" i="19"/>
  <c r="G11" i="19" s="1"/>
  <c r="D17" i="19"/>
  <c r="G17" i="19" s="1"/>
  <c r="D5" i="19"/>
  <c r="G5" i="19" s="1"/>
  <c r="D2" i="19"/>
  <c r="G2" i="19" s="1"/>
  <c r="D3" i="19"/>
  <c r="Q144" i="1"/>
  <c r="Q21" i="3"/>
  <c r="Q45" i="3"/>
  <c r="Q25" i="3"/>
  <c r="Q33" i="3"/>
  <c r="Q50" i="3"/>
  <c r="Q74" i="3"/>
  <c r="Q84" i="3"/>
  <c r="Q93" i="3"/>
  <c r="Q97" i="3"/>
  <c r="Q106" i="3"/>
  <c r="S115" i="3"/>
  <c r="S193" i="3"/>
  <c r="Q196" i="3"/>
  <c r="Q202" i="3" s="1"/>
  <c r="Q172" i="3"/>
  <c r="BS30" i="6"/>
  <c r="BS31" i="6"/>
  <c r="P71" i="13"/>
  <c r="N71" i="13"/>
  <c r="L71" i="13"/>
  <c r="O182" i="3"/>
  <c r="K182" i="3"/>
  <c r="I182" i="3"/>
  <c r="G182" i="3"/>
  <c r="O139" i="3"/>
  <c r="K139" i="3"/>
  <c r="I139" i="3"/>
  <c r="G139" i="3"/>
  <c r="U67" i="3"/>
  <c r="O67" i="3"/>
  <c r="K67" i="3"/>
  <c r="I67" i="3"/>
  <c r="G67" i="3"/>
  <c r="J128" i="13"/>
  <c r="J71" i="13"/>
  <c r="M116" i="1"/>
  <c r="BS16" i="6"/>
  <c r="BS17" i="6"/>
  <c r="BS18" i="6"/>
  <c r="BS19" i="6"/>
  <c r="BS27" i="6"/>
  <c r="BS28" i="6"/>
  <c r="BS29" i="6"/>
  <c r="BS32" i="6"/>
  <c r="BS33" i="6"/>
  <c r="BS34" i="6"/>
  <c r="BS35" i="6"/>
  <c r="BS36" i="6"/>
  <c r="BS37" i="6"/>
  <c r="BS38" i="6"/>
  <c r="BS39" i="6"/>
  <c r="BS40" i="6"/>
  <c r="BS41" i="6"/>
  <c r="BS42" i="6"/>
  <c r="BS44" i="6"/>
  <c r="BS47" i="6"/>
  <c r="BS48" i="6"/>
  <c r="BS49" i="6"/>
  <c r="BS50" i="6"/>
  <c r="BS51" i="6"/>
  <c r="BS52" i="6"/>
  <c r="BS53" i="6"/>
  <c r="BS58" i="6"/>
  <c r="BS59" i="6"/>
  <c r="BS60" i="6"/>
  <c r="BS61" i="6"/>
  <c r="BS62" i="6"/>
  <c r="BS63" i="6"/>
  <c r="AF64" i="6"/>
  <c r="M182" i="3"/>
  <c r="M139" i="3"/>
  <c r="M67" i="3"/>
  <c r="Q116" i="1"/>
  <c r="O116" i="1"/>
  <c r="K116" i="1"/>
  <c r="G116" i="1"/>
  <c r="I116" i="1"/>
  <c r="S62" i="1"/>
  <c r="Q62" i="1"/>
  <c r="O62" i="1"/>
  <c r="M62" i="1"/>
  <c r="K62" i="1"/>
  <c r="I62" i="1"/>
  <c r="G62" i="1"/>
  <c r="A112" i="1"/>
  <c r="A111" i="1"/>
  <c r="A110" i="1"/>
  <c r="A58" i="1"/>
  <c r="A115" i="1"/>
  <c r="A57" i="1"/>
  <c r="A60" i="1"/>
  <c r="A61" i="1"/>
  <c r="A56" i="1"/>
  <c r="A180" i="3"/>
  <c r="A177" i="3"/>
  <c r="A176" i="3"/>
  <c r="A178" i="3"/>
  <c r="A135" i="3"/>
  <c r="A134" i="3"/>
  <c r="A133" i="3"/>
  <c r="A63" i="3"/>
  <c r="A62" i="3"/>
  <c r="A65" i="3"/>
  <c r="A61" i="3"/>
  <c r="G8" i="15"/>
  <c r="G128" i="13"/>
  <c r="G71" i="13"/>
  <c r="A124" i="13"/>
  <c r="A123" i="13"/>
  <c r="A122" i="13"/>
  <c r="A67" i="13"/>
  <c r="A66" i="13"/>
  <c r="A69" i="13"/>
  <c r="A65" i="13"/>
  <c r="F104" i="18"/>
  <c r="F106" i="18" s="1"/>
  <c r="O104" i="18"/>
  <c r="O106" i="18" s="1"/>
  <c r="O120" i="18"/>
  <c r="F120" i="18"/>
  <c r="S120" i="18"/>
  <c r="I30" i="11" l="1"/>
  <c r="I29" i="11"/>
  <c r="O144" i="1"/>
  <c r="G174" i="13"/>
  <c r="M50" i="3"/>
  <c r="M54" i="3" s="1"/>
  <c r="K84" i="1"/>
  <c r="O84" i="1" s="1"/>
  <c r="K50" i="3"/>
  <c r="K54" i="3" s="1"/>
  <c r="BS64" i="6"/>
  <c r="S46" i="1"/>
  <c r="M50" i="1"/>
  <c r="M54" i="1" s="1"/>
  <c r="K28" i="1"/>
  <c r="O28" i="1" s="1"/>
  <c r="Q50" i="1"/>
  <c r="O43" i="1"/>
  <c r="J85" i="18"/>
  <c r="G32" i="3"/>
  <c r="G38" i="13"/>
  <c r="G214" i="3"/>
  <c r="O214" i="3" s="1"/>
  <c r="S214" i="3" s="1"/>
  <c r="G116" i="13"/>
  <c r="B102" i="10"/>
  <c r="B30" i="14"/>
  <c r="G211" i="3"/>
  <c r="O211" i="3" s="1"/>
  <c r="S211" i="3" s="1"/>
  <c r="J28" i="13"/>
  <c r="J20" i="13"/>
  <c r="J19" i="13"/>
  <c r="L138" i="13"/>
  <c r="L101" i="13"/>
  <c r="J18" i="13"/>
  <c r="L96" i="13"/>
  <c r="L95" i="13"/>
  <c r="L59" i="13"/>
  <c r="J39" i="13"/>
  <c r="J22" i="13"/>
  <c r="J21" i="13"/>
  <c r="L23" i="12"/>
  <c r="K221" i="3"/>
  <c r="F23" i="12"/>
  <c r="D23" i="12"/>
  <c r="D36" i="12" s="1"/>
  <c r="D38" i="15"/>
  <c r="M34" i="15"/>
  <c r="H16" i="4"/>
  <c r="G36" i="15"/>
  <c r="G38" i="15" s="1"/>
  <c r="G162" i="1"/>
  <c r="G18" i="3"/>
  <c r="O18" i="3" s="1"/>
  <c r="S18" i="3" s="1"/>
  <c r="M28" i="15"/>
  <c r="O77" i="3"/>
  <c r="S77" i="3" s="1"/>
  <c r="O73" i="3"/>
  <c r="S73" i="3" s="1"/>
  <c r="Q146" i="1"/>
  <c r="Q162" i="1" s="1"/>
  <c r="J36" i="15"/>
  <c r="J38" i="15" s="1"/>
  <c r="I86" i="1"/>
  <c r="S167" i="3"/>
  <c r="G177" i="13"/>
  <c r="S160" i="1"/>
  <c r="G217" i="3"/>
  <c r="O217" i="3" s="1"/>
  <c r="S217" i="3" s="1"/>
  <c r="G170" i="13"/>
  <c r="S47" i="3"/>
  <c r="M22" i="15"/>
  <c r="AE122" i="18"/>
  <c r="AE136" i="18" s="1"/>
  <c r="AE140" i="18" s="1"/>
  <c r="AE141" i="18" s="1"/>
  <c r="G86" i="1"/>
  <c r="G38" i="3"/>
  <c r="O38" i="3" s="1"/>
  <c r="S38" i="3" s="1"/>
  <c r="D64" i="14"/>
  <c r="Q204" i="3"/>
  <c r="Q219" i="3" s="1"/>
  <c r="V85" i="18"/>
  <c r="Q86" i="1"/>
  <c r="Q106" i="1" s="1"/>
  <c r="I61" i="2"/>
  <c r="I59" i="2"/>
  <c r="E103" i="1" s="1"/>
  <c r="G59" i="2"/>
  <c r="E102" i="1" s="1"/>
  <c r="G61" i="2"/>
  <c r="E61" i="2"/>
  <c r="E59" i="2"/>
  <c r="E100" i="1" s="1"/>
  <c r="G107" i="13"/>
  <c r="C59" i="2"/>
  <c r="E95" i="1" s="1"/>
  <c r="C61" i="2"/>
  <c r="S126" i="1"/>
  <c r="G92" i="3"/>
  <c r="E67" i="13"/>
  <c r="O36" i="3"/>
  <c r="S36" i="3" s="1"/>
  <c r="G86" i="3"/>
  <c r="H56" i="9"/>
  <c r="S39" i="1"/>
  <c r="H55" i="9"/>
  <c r="G74" i="13"/>
  <c r="K204" i="3"/>
  <c r="K219" i="3" s="1"/>
  <c r="M204" i="3"/>
  <c r="M219" i="3" s="1"/>
  <c r="M162" i="1"/>
  <c r="S83" i="1"/>
  <c r="G50" i="13"/>
  <c r="A87" i="10"/>
  <c r="G199" i="3"/>
  <c r="O199" i="3" s="1"/>
  <c r="S199" i="3" s="1"/>
  <c r="G44" i="13"/>
  <c r="S142" i="1"/>
  <c r="G84" i="13"/>
  <c r="S66" i="1"/>
  <c r="S141" i="1"/>
  <c r="G76" i="13"/>
  <c r="S45" i="1"/>
  <c r="S32" i="1"/>
  <c r="S73" i="1"/>
  <c r="G155" i="13"/>
  <c r="G20" i="13"/>
  <c r="S156" i="1"/>
  <c r="S35" i="1"/>
  <c r="G171" i="13"/>
  <c r="S154" i="1"/>
  <c r="G169" i="13"/>
  <c r="G210" i="3"/>
  <c r="O210" i="3" s="1"/>
  <c r="S210" i="3" s="1"/>
  <c r="S152" i="1"/>
  <c r="S149" i="1"/>
  <c r="G207" i="3"/>
  <c r="E207" i="3" s="1"/>
  <c r="G166" i="13"/>
  <c r="G148" i="13"/>
  <c r="G151" i="13"/>
  <c r="G189" i="3"/>
  <c r="O189" i="3" s="1"/>
  <c r="S189" i="3" s="1"/>
  <c r="S138" i="1"/>
  <c r="G186" i="3"/>
  <c r="O186" i="3" s="1"/>
  <c r="S186" i="3" s="1"/>
  <c r="S134" i="1"/>
  <c r="G137" i="13"/>
  <c r="S124" i="1"/>
  <c r="G136" i="13"/>
  <c r="G135" i="13"/>
  <c r="S123" i="1"/>
  <c r="G134" i="13"/>
  <c r="S120" i="1"/>
  <c r="G132" i="13"/>
  <c r="S82" i="1"/>
  <c r="O79" i="1"/>
  <c r="S79" i="1" s="1"/>
  <c r="H69" i="9"/>
  <c r="G85" i="13"/>
  <c r="G83" i="13"/>
  <c r="G43" i="9"/>
  <c r="G75" i="13"/>
  <c r="G74" i="3"/>
  <c r="G77" i="13"/>
  <c r="S68" i="1"/>
  <c r="G43" i="13"/>
  <c r="G43" i="3"/>
  <c r="O43" i="3" s="1"/>
  <c r="S43" i="3" s="1"/>
  <c r="G52" i="13"/>
  <c r="G44" i="3"/>
  <c r="G45" i="13"/>
  <c r="S40" i="1"/>
  <c r="S95" i="1" s="1"/>
  <c r="G30" i="9"/>
  <c r="G29" i="9"/>
  <c r="G19" i="13"/>
  <c r="G17" i="3"/>
  <c r="O17" i="3" s="1"/>
  <c r="S17" i="3" s="1"/>
  <c r="S21" i="1"/>
  <c r="S20" i="1"/>
  <c r="G18" i="13"/>
  <c r="S19" i="1"/>
  <c r="E123" i="13"/>
  <c r="C2" i="2"/>
  <c r="S71" i="1"/>
  <c r="G76" i="3"/>
  <c r="O76" i="3" s="1"/>
  <c r="S76" i="3" s="1"/>
  <c r="AE67" i="18"/>
  <c r="E66" i="13"/>
  <c r="O20" i="18"/>
  <c r="X8" i="18"/>
  <c r="S32" i="18"/>
  <c r="J8" i="18"/>
  <c r="W32" i="18"/>
  <c r="B2" i="12"/>
  <c r="B2" i="9"/>
  <c r="C2" i="17"/>
  <c r="B2" i="7"/>
  <c r="S27" i="1"/>
  <c r="G28" i="13"/>
  <c r="K24" i="1"/>
  <c r="O24" i="1" s="1"/>
  <c r="J154" i="13"/>
  <c r="L154" i="13" s="1"/>
  <c r="N154" i="13" s="1"/>
  <c r="J155" i="13"/>
  <c r="L174" i="13"/>
  <c r="N174" i="13" s="1"/>
  <c r="L177" i="13"/>
  <c r="N177" i="13" s="1"/>
  <c r="L173" i="13"/>
  <c r="N173" i="13" s="1"/>
  <c r="K32" i="18"/>
  <c r="P20" i="18"/>
  <c r="K20" i="18"/>
  <c r="M120" i="18"/>
  <c r="J20" i="18"/>
  <c r="S12" i="18"/>
  <c r="S20" i="18"/>
  <c r="M8" i="18"/>
  <c r="M12" i="18"/>
  <c r="M20" i="18"/>
  <c r="T106" i="18"/>
  <c r="L120" i="18"/>
  <c r="V120" i="18"/>
  <c r="Z120" i="18"/>
  <c r="J104" i="18"/>
  <c r="J106" i="18" s="1"/>
  <c r="J122" i="18" s="1"/>
  <c r="S8" i="18"/>
  <c r="S34" i="18" s="1"/>
  <c r="S48" i="18"/>
  <c r="S67" i="18" s="1"/>
  <c r="J48" i="18"/>
  <c r="J67" i="18" s="1"/>
  <c r="J71" i="18" s="1"/>
  <c r="P106" i="18"/>
  <c r="K108" i="3"/>
  <c r="Q108" i="3"/>
  <c r="Q128" i="3" s="1"/>
  <c r="M108" i="3"/>
  <c r="M112" i="3" s="1"/>
  <c r="O196" i="3"/>
  <c r="S196" i="3" s="1"/>
  <c r="O91" i="3"/>
  <c r="F18" i="14" s="1"/>
  <c r="E63" i="3"/>
  <c r="E135" i="3"/>
  <c r="G115" i="13"/>
  <c r="S103" i="1"/>
  <c r="G114" i="13"/>
  <c r="S102" i="1"/>
  <c r="S23" i="1"/>
  <c r="G20" i="3"/>
  <c r="G22" i="13"/>
  <c r="G23" i="3"/>
  <c r="S26" i="1"/>
  <c r="G27" i="13"/>
  <c r="G21" i="13"/>
  <c r="G19" i="3"/>
  <c r="S22" i="1"/>
  <c r="G93" i="4"/>
  <c r="G176" i="13"/>
  <c r="S159" i="1"/>
  <c r="G216" i="3"/>
  <c r="O216" i="3" s="1"/>
  <c r="S216" i="3" s="1"/>
  <c r="G184" i="3"/>
  <c r="O184" i="3" s="1"/>
  <c r="S184" i="3" s="1"/>
  <c r="G146" i="13"/>
  <c r="S133" i="1"/>
  <c r="H118" i="4"/>
  <c r="S72" i="1"/>
  <c r="S67" i="1"/>
  <c r="S65" i="1"/>
  <c r="S41" i="1"/>
  <c r="S96" i="1" s="1"/>
  <c r="G213" i="3"/>
  <c r="O213" i="3" s="1"/>
  <c r="S213" i="3" s="1"/>
  <c r="G185" i="3"/>
  <c r="O185" i="3" s="1"/>
  <c r="S185" i="3" s="1"/>
  <c r="H68" i="9"/>
  <c r="G46" i="13"/>
  <c r="G35" i="3"/>
  <c r="O35" i="3" s="1"/>
  <c r="O71" i="3"/>
  <c r="S71" i="3" s="1"/>
  <c r="G87" i="13"/>
  <c r="S76" i="1"/>
  <c r="G80" i="3"/>
  <c r="O80" i="3" s="1"/>
  <c r="S80" i="3" s="1"/>
  <c r="I44" i="11"/>
  <c r="G172" i="13"/>
  <c r="G212" i="3"/>
  <c r="O212" i="3" s="1"/>
  <c r="S212" i="3" s="1"/>
  <c r="S155" i="1"/>
  <c r="G150" i="13"/>
  <c r="G188" i="3"/>
  <c r="O188" i="3" s="1"/>
  <c r="S188" i="3" s="1"/>
  <c r="S137" i="1"/>
  <c r="S100" i="1"/>
  <c r="G110" i="13"/>
  <c r="S78" i="1"/>
  <c r="G89" i="13"/>
  <c r="G82" i="3"/>
  <c r="O82" i="3" s="1"/>
  <c r="S82" i="3" s="1"/>
  <c r="S119" i="1"/>
  <c r="G131" i="13"/>
  <c r="I146" i="1"/>
  <c r="I162" i="1" s="1"/>
  <c r="G24" i="3"/>
  <c r="O24" i="3" s="1"/>
  <c r="S24" i="3" s="1"/>
  <c r="A12" i="12"/>
  <c r="E2" i="13"/>
  <c r="B2" i="8"/>
  <c r="E110" i="1"/>
  <c r="D4" i="4"/>
  <c r="E56" i="1"/>
  <c r="G2" i="15"/>
  <c r="B2" i="14"/>
  <c r="B2" i="10"/>
  <c r="B2" i="11"/>
  <c r="E2" i="3"/>
  <c r="E61" i="3" s="1"/>
  <c r="E3" i="6"/>
  <c r="E8" i="18"/>
  <c r="H8" i="18"/>
  <c r="Y12" i="18"/>
  <c r="L12" i="18"/>
  <c r="I8" i="18"/>
  <c r="R32" i="18"/>
  <c r="L32" i="18"/>
  <c r="X12" i="18"/>
  <c r="N12" i="18"/>
  <c r="N20" i="18"/>
  <c r="Y32" i="18"/>
  <c r="W12" i="18"/>
  <c r="Q12" i="18"/>
  <c r="Q32" i="18"/>
  <c r="G12" i="18"/>
  <c r="G32" i="18"/>
  <c r="U106" i="18"/>
  <c r="I106" i="18"/>
  <c r="G106" i="18"/>
  <c r="K106" i="18"/>
  <c r="K122" i="18" s="1"/>
  <c r="N120" i="18"/>
  <c r="N122" i="18" s="1"/>
  <c r="R120" i="18"/>
  <c r="W120" i="18"/>
  <c r="J32" i="18"/>
  <c r="J12" i="18"/>
  <c r="N8" i="18"/>
  <c r="F32" i="18"/>
  <c r="X32" i="18"/>
  <c r="P8" i="18"/>
  <c r="A181" i="3"/>
  <c r="C28" i="14"/>
  <c r="D28" i="14" s="1"/>
  <c r="C29" i="14"/>
  <c r="D29" i="14" s="1"/>
  <c r="A66" i="3"/>
  <c r="Y106" i="18"/>
  <c r="Y122" i="18" s="1"/>
  <c r="T32" i="18"/>
  <c r="I20" i="18"/>
  <c r="V48" i="18"/>
  <c r="V67" i="18" s="1"/>
  <c r="T20" i="18"/>
  <c r="O122" i="18"/>
  <c r="F122" i="18"/>
  <c r="Z8" i="18"/>
  <c r="Z12" i="18"/>
  <c r="Z20" i="18"/>
  <c r="U12" i="18"/>
  <c r="U20" i="18"/>
  <c r="Q20" i="18"/>
  <c r="O12" i="18"/>
  <c r="K12" i="18"/>
  <c r="V12" i="18"/>
  <c r="V20" i="18"/>
  <c r="H12" i="18"/>
  <c r="H20" i="18"/>
  <c r="F12" i="18"/>
  <c r="F20" i="18"/>
  <c r="I12" i="18"/>
  <c r="T12" i="18"/>
  <c r="U32" i="18"/>
  <c r="O32" i="18"/>
  <c r="F8" i="18"/>
  <c r="F34" i="18" s="1"/>
  <c r="G48" i="18"/>
  <c r="G67" i="18" s="1"/>
  <c r="L106" i="18"/>
  <c r="Q106" i="18"/>
  <c r="W106" i="18"/>
  <c r="E106" i="18"/>
  <c r="X120" i="18"/>
  <c r="G120" i="18"/>
  <c r="P120" i="18"/>
  <c r="H120" i="18"/>
  <c r="F48" i="18"/>
  <c r="F67" i="18" s="1"/>
  <c r="N48" i="18"/>
  <c r="N67" i="18" s="1"/>
  <c r="H48" i="18"/>
  <c r="H67" i="18" s="1"/>
  <c r="K48" i="18"/>
  <c r="K67" i="18" s="1"/>
  <c r="Q48" i="18"/>
  <c r="Q67" i="18" s="1"/>
  <c r="Y48" i="18"/>
  <c r="Y67" i="18" s="1"/>
  <c r="U48" i="18"/>
  <c r="U67" i="18" s="1"/>
  <c r="T48" i="18"/>
  <c r="T67" i="18" s="1"/>
  <c r="X48" i="18"/>
  <c r="X67" i="18" s="1"/>
  <c r="Z48" i="18"/>
  <c r="Z67" i="18" s="1"/>
  <c r="R12" i="18"/>
  <c r="R20" i="18"/>
  <c r="E20" i="18"/>
  <c r="X20" i="18"/>
  <c r="Y20" i="18"/>
  <c r="W20" i="18"/>
  <c r="L20" i="18"/>
  <c r="P12" i="18"/>
  <c r="W48" i="18"/>
  <c r="W67" i="18" s="1"/>
  <c r="L48" i="18"/>
  <c r="L67" i="18" s="1"/>
  <c r="D27" i="14"/>
  <c r="E62" i="3"/>
  <c r="E134" i="3"/>
  <c r="S75" i="1"/>
  <c r="G79" i="3"/>
  <c r="O79" i="3" s="1"/>
  <c r="S79" i="3" s="1"/>
  <c r="S127" i="1"/>
  <c r="G139" i="13"/>
  <c r="S118" i="1"/>
  <c r="G130" i="13"/>
  <c r="G149" i="13"/>
  <c r="G187" i="3"/>
  <c r="O187" i="3" s="1"/>
  <c r="S187" i="3" s="1"/>
  <c r="S136" i="1"/>
  <c r="Z32" i="18"/>
  <c r="Q8" i="18"/>
  <c r="Q34" i="18" s="1"/>
  <c r="V8" i="18"/>
  <c r="V32" i="18"/>
  <c r="H32" i="18"/>
  <c r="T8" i="18"/>
  <c r="P48" i="18"/>
  <c r="P67" i="18" s="1"/>
  <c r="R106" i="18"/>
  <c r="U120" i="18"/>
  <c r="Q120" i="18"/>
  <c r="I120" i="18"/>
  <c r="T120" i="18"/>
  <c r="E120" i="18"/>
  <c r="O97" i="3"/>
  <c r="S97" i="3" s="1"/>
  <c r="G3" i="19"/>
  <c r="A11" i="14"/>
  <c r="A11" i="10"/>
  <c r="G175" i="13"/>
  <c r="G215" i="3"/>
  <c r="O215" i="3" s="1"/>
  <c r="S215" i="3" s="1"/>
  <c r="S158" i="1"/>
  <c r="G165" i="13"/>
  <c r="G206" i="3"/>
  <c r="E206" i="3" s="1"/>
  <c r="S148" i="1"/>
  <c r="U8" i="18"/>
  <c r="U34" i="18" s="1"/>
  <c r="O8" i="18"/>
  <c r="K8" i="18"/>
  <c r="Y8" i="18"/>
  <c r="Y34" i="18" s="1"/>
  <c r="H13" i="4"/>
  <c r="H14" i="4" s="1"/>
  <c r="A11" i="11"/>
  <c r="A11" i="13"/>
  <c r="H106" i="18"/>
  <c r="X106" i="18"/>
  <c r="R8" i="18"/>
  <c r="N32" i="18"/>
  <c r="N34" i="18" s="1"/>
  <c r="O104" i="3"/>
  <c r="S104" i="3" s="1"/>
  <c r="E12" i="18"/>
  <c r="I32" i="18"/>
  <c r="G8" i="18"/>
  <c r="G20" i="18"/>
  <c r="M32" i="18"/>
  <c r="M67" i="18"/>
  <c r="I48" i="18"/>
  <c r="I67" i="18" s="1"/>
  <c r="L8" i="18"/>
  <c r="W8" i="18"/>
  <c r="E48" i="18"/>
  <c r="E67" i="18" s="1"/>
  <c r="O48" i="18"/>
  <c r="O67" i="18" s="1"/>
  <c r="R48" i="18"/>
  <c r="R67" i="18" s="1"/>
  <c r="V106" i="18"/>
  <c r="Z106" i="18"/>
  <c r="P32" i="18"/>
  <c r="E32" i="18"/>
  <c r="M106" i="18"/>
  <c r="G35" i="13"/>
  <c r="K128" i="1"/>
  <c r="O128" i="1" s="1"/>
  <c r="S104" i="18"/>
  <c r="S106" i="18" s="1"/>
  <c r="S122" i="18" s="1"/>
  <c r="S29" i="3"/>
  <c r="I17" i="4" l="1"/>
  <c r="H18" i="4"/>
  <c r="O23" i="3"/>
  <c r="S23" i="3" s="1"/>
  <c r="G25" i="3"/>
  <c r="O20" i="3"/>
  <c r="S20" i="3" s="1"/>
  <c r="O19" i="3"/>
  <c r="G21" i="3"/>
  <c r="L36" i="12"/>
  <c r="M221" i="3" s="1"/>
  <c r="F36" i="12"/>
  <c r="M164" i="1" s="1"/>
  <c r="M34" i="18"/>
  <c r="O80" i="1"/>
  <c r="G40" i="3"/>
  <c r="O40" i="3" s="1"/>
  <c r="S40" i="3" s="1"/>
  <c r="O48" i="1"/>
  <c r="O50" i="1" s="1"/>
  <c r="O54" i="1" s="1"/>
  <c r="M90" i="1"/>
  <c r="K50" i="1"/>
  <c r="X34" i="18"/>
  <c r="K34" i="18"/>
  <c r="K41" i="18" s="1"/>
  <c r="L34" i="18"/>
  <c r="R34" i="18"/>
  <c r="O34" i="18"/>
  <c r="P34" i="18"/>
  <c r="I34" i="18"/>
  <c r="S91" i="3"/>
  <c r="T34" i="18"/>
  <c r="G34" i="18"/>
  <c r="H34" i="18"/>
  <c r="W34" i="18"/>
  <c r="V34" i="18"/>
  <c r="Z34" i="18"/>
  <c r="J34" i="18"/>
  <c r="S35" i="3"/>
  <c r="E34" i="18"/>
  <c r="E41" i="18" s="1"/>
  <c r="I106" i="1"/>
  <c r="I166" i="1" s="1"/>
  <c r="G48" i="13"/>
  <c r="L48" i="13" s="1"/>
  <c r="S43" i="1"/>
  <c r="Q166" i="1"/>
  <c r="O32" i="3"/>
  <c r="S32" i="3" s="1"/>
  <c r="G39" i="13"/>
  <c r="U71" i="18"/>
  <c r="J23" i="13"/>
  <c r="O136" i="18"/>
  <c r="T85" i="18"/>
  <c r="T71" i="18"/>
  <c r="N136" i="18"/>
  <c r="X85" i="18"/>
  <c r="H85" i="18"/>
  <c r="H71" i="18"/>
  <c r="W85" i="18"/>
  <c r="K85" i="18"/>
  <c r="K71" i="18"/>
  <c r="P85" i="18"/>
  <c r="W71" i="18"/>
  <c r="S136" i="18"/>
  <c r="N85" i="18"/>
  <c r="N71" i="18"/>
  <c r="I85" i="18"/>
  <c r="I71" i="18"/>
  <c r="Y85" i="18"/>
  <c r="Y71" i="18"/>
  <c r="Q85" i="18"/>
  <c r="Q71" i="18"/>
  <c r="J136" i="18"/>
  <c r="O85" i="18"/>
  <c r="O71" i="18"/>
  <c r="M85" i="18"/>
  <c r="M71" i="18"/>
  <c r="R85" i="18"/>
  <c r="R71" i="18"/>
  <c r="P71" i="18"/>
  <c r="X71" i="18"/>
  <c r="Y136" i="18"/>
  <c r="F136" i="18"/>
  <c r="L85" i="18"/>
  <c r="L71" i="18"/>
  <c r="S85" i="18"/>
  <c r="S71" i="18"/>
  <c r="K136" i="18"/>
  <c r="G85" i="18"/>
  <c r="G71" i="18"/>
  <c r="Z85" i="18"/>
  <c r="Z71" i="18"/>
  <c r="E71" i="18"/>
  <c r="F85" i="18"/>
  <c r="F71" i="18"/>
  <c r="V71" i="18"/>
  <c r="G41" i="13"/>
  <c r="L74" i="13"/>
  <c r="N74" i="13" s="1"/>
  <c r="N36" i="15"/>
  <c r="L43" i="13"/>
  <c r="N43" i="13" s="1"/>
  <c r="L115" i="13"/>
  <c r="N115" i="13" s="1"/>
  <c r="H119" i="4"/>
  <c r="I120" i="4"/>
  <c r="L19" i="13"/>
  <c r="N19" i="13" s="1"/>
  <c r="L50" i="13"/>
  <c r="N50" i="13" s="1"/>
  <c r="L44" i="13"/>
  <c r="N44" i="13" s="1"/>
  <c r="L170" i="13"/>
  <c r="N170" i="13" s="1"/>
  <c r="L134" i="13"/>
  <c r="N134" i="13" s="1"/>
  <c r="L171" i="13"/>
  <c r="N171" i="13" s="1"/>
  <c r="L136" i="13"/>
  <c r="N136" i="13" s="1"/>
  <c r="L20" i="13"/>
  <c r="L166" i="13"/>
  <c r="N166" i="13" s="1"/>
  <c r="L151" i="13"/>
  <c r="N151" i="13" s="1"/>
  <c r="L76" i="13"/>
  <c r="N76" i="13" s="1"/>
  <c r="L169" i="13"/>
  <c r="N169" i="13" s="1"/>
  <c r="L148" i="13"/>
  <c r="N148" i="13" s="1"/>
  <c r="L137" i="13"/>
  <c r="N137" i="13" s="1"/>
  <c r="L135" i="13"/>
  <c r="N135" i="13" s="1"/>
  <c r="L132" i="13"/>
  <c r="N132" i="13" s="1"/>
  <c r="L107" i="13"/>
  <c r="N107" i="13" s="1"/>
  <c r="L85" i="13"/>
  <c r="N85" i="13" s="1"/>
  <c r="L84" i="13"/>
  <c r="N84" i="13" s="1"/>
  <c r="L83" i="13"/>
  <c r="N83" i="13" s="1"/>
  <c r="L77" i="13"/>
  <c r="N77" i="13" s="1"/>
  <c r="L75" i="13"/>
  <c r="N75" i="13" s="1"/>
  <c r="L52" i="13"/>
  <c r="N52" i="13" s="1"/>
  <c r="L45" i="13"/>
  <c r="N45" i="13" s="1"/>
  <c r="L38" i="13"/>
  <c r="N38" i="13" s="1"/>
  <c r="L18" i="13"/>
  <c r="N18" i="13" s="1"/>
  <c r="L110" i="13"/>
  <c r="N110" i="13" s="1"/>
  <c r="L150" i="13"/>
  <c r="N150" i="13" s="1"/>
  <c r="L149" i="13"/>
  <c r="L172" i="13"/>
  <c r="L27" i="13"/>
  <c r="N27" i="13" s="1"/>
  <c r="L89" i="13"/>
  <c r="N89" i="13" s="1"/>
  <c r="L114" i="13"/>
  <c r="N114" i="13" s="1"/>
  <c r="L131" i="13"/>
  <c r="N131" i="13" s="1"/>
  <c r="L146" i="13"/>
  <c r="L130" i="13"/>
  <c r="N130" i="13" s="1"/>
  <c r="L139" i="13"/>
  <c r="L165" i="13"/>
  <c r="N165" i="13" s="1"/>
  <c r="L35" i="13"/>
  <c r="L87" i="13"/>
  <c r="N87" i="13" s="1"/>
  <c r="L46" i="13"/>
  <c r="N46" i="13" s="1"/>
  <c r="L28" i="13"/>
  <c r="N28" i="13" s="1"/>
  <c r="L21" i="13"/>
  <c r="N21" i="13" s="1"/>
  <c r="L22" i="13"/>
  <c r="N22" i="13" s="1"/>
  <c r="H140" i="4"/>
  <c r="C145" i="4" s="1"/>
  <c r="F145" i="4" s="1"/>
  <c r="G145" i="4" s="1"/>
  <c r="G155" i="4" s="1"/>
  <c r="H122" i="4"/>
  <c r="C124" i="4" s="1"/>
  <c r="N172" i="13"/>
  <c r="L82" i="13"/>
  <c r="N82" i="13" s="1"/>
  <c r="L147" i="13"/>
  <c r="N147" i="13" s="1"/>
  <c r="H27" i="4"/>
  <c r="I30" i="4" s="1"/>
  <c r="M36" i="15"/>
  <c r="M38" i="15" s="1"/>
  <c r="B29" i="8"/>
  <c r="D25" i="7"/>
  <c r="D18" i="7"/>
  <c r="D17" i="7"/>
  <c r="G106" i="1"/>
  <c r="D19" i="7"/>
  <c r="D21" i="7"/>
  <c r="D20" i="7"/>
  <c r="H129" i="4"/>
  <c r="D24" i="7"/>
  <c r="D23" i="7"/>
  <c r="D22" i="7"/>
  <c r="B65" i="14"/>
  <c r="B64" i="14"/>
  <c r="O44" i="3"/>
  <c r="S44" i="3" s="1"/>
  <c r="O92" i="3"/>
  <c r="G19" i="14" s="1"/>
  <c r="O206" i="3"/>
  <c r="S206" i="3" s="1"/>
  <c r="O207" i="3"/>
  <c r="S207" i="3" s="1"/>
  <c r="L155" i="13"/>
  <c r="N155" i="13" s="1"/>
  <c r="G202" i="3"/>
  <c r="O202" i="3" s="1"/>
  <c r="S202" i="3" s="1"/>
  <c r="K130" i="3"/>
  <c r="K128" i="3"/>
  <c r="K225" i="3" s="1"/>
  <c r="BS67" i="6"/>
  <c r="M130" i="3"/>
  <c r="M128" i="3"/>
  <c r="Q223" i="3"/>
  <c r="M106" i="1"/>
  <c r="G157" i="13"/>
  <c r="G159" i="13"/>
  <c r="I130" i="4"/>
  <c r="K86" i="1"/>
  <c r="O86" i="1" s="1"/>
  <c r="O90" i="1" s="1"/>
  <c r="O86" i="3"/>
  <c r="G93" i="3"/>
  <c r="G90" i="13"/>
  <c r="S144" i="1"/>
  <c r="G97" i="13"/>
  <c r="S84" i="1"/>
  <c r="G108" i="1"/>
  <c r="G83" i="3"/>
  <c r="S80" i="1"/>
  <c r="G78" i="13"/>
  <c r="G80" i="13"/>
  <c r="S36" i="1"/>
  <c r="B30" i="8"/>
  <c r="N96" i="13"/>
  <c r="L116" i="13"/>
  <c r="N116" i="13" s="1"/>
  <c r="N20" i="13"/>
  <c r="N59" i="13"/>
  <c r="G164" i="1"/>
  <c r="H23" i="12"/>
  <c r="H36" i="12" s="1"/>
  <c r="J91" i="13"/>
  <c r="L176" i="13"/>
  <c r="N176" i="13" s="1"/>
  <c r="J29" i="13"/>
  <c r="M108" i="1"/>
  <c r="T122" i="18"/>
  <c r="V122" i="18"/>
  <c r="N138" i="13"/>
  <c r="I122" i="18"/>
  <c r="J157" i="13"/>
  <c r="Q122" i="18"/>
  <c r="Q136" i="18" s="1"/>
  <c r="L175" i="13"/>
  <c r="N175" i="13" s="1"/>
  <c r="H122" i="18"/>
  <c r="H136" i="18" s="1"/>
  <c r="G31" i="13"/>
  <c r="S28" i="1"/>
  <c r="G29" i="13"/>
  <c r="J140" i="13"/>
  <c r="J142" i="13" s="1"/>
  <c r="O25" i="3"/>
  <c r="S25" i="3" s="1"/>
  <c r="O74" i="3"/>
  <c r="S74" i="3" s="1"/>
  <c r="D30" i="14"/>
  <c r="N101" i="13"/>
  <c r="Z122" i="18"/>
  <c r="L122" i="18"/>
  <c r="L136" i="18" s="1"/>
  <c r="M122" i="18"/>
  <c r="R122" i="18"/>
  <c r="P122" i="18"/>
  <c r="P136" i="18" s="1"/>
  <c r="W122" i="18"/>
  <c r="O106" i="3"/>
  <c r="S106" i="3" s="1"/>
  <c r="S69" i="1"/>
  <c r="C30" i="14"/>
  <c r="J97" i="13"/>
  <c r="E122" i="13"/>
  <c r="E65" i="13"/>
  <c r="E176" i="3"/>
  <c r="E133" i="3"/>
  <c r="L97" i="13"/>
  <c r="L51" i="13"/>
  <c r="N51" i="13" s="1"/>
  <c r="E122" i="18"/>
  <c r="E136" i="18" s="1"/>
  <c r="N41" i="18"/>
  <c r="X122" i="18"/>
  <c r="U122" i="18"/>
  <c r="U136" i="18" s="1"/>
  <c r="U140" i="18" s="1"/>
  <c r="J78" i="13"/>
  <c r="G122" i="18"/>
  <c r="BS65" i="6"/>
  <c r="S128" i="1"/>
  <c r="K130" i="1"/>
  <c r="A70" i="13"/>
  <c r="A127" i="13"/>
  <c r="O16" i="3"/>
  <c r="S16" i="3" s="1"/>
  <c r="G18" i="14"/>
  <c r="E18" i="14"/>
  <c r="M225" i="3" l="1"/>
  <c r="K142" i="18"/>
  <c r="K146" i="1"/>
  <c r="O130" i="1"/>
  <c r="O108" i="1"/>
  <c r="O106" i="1"/>
  <c r="G52" i="7"/>
  <c r="A55" i="7" s="1"/>
  <c r="N142" i="18"/>
  <c r="E142" i="18"/>
  <c r="S24" i="1"/>
  <c r="G55" i="13"/>
  <c r="G45" i="3"/>
  <c r="G53" i="13"/>
  <c r="O33" i="3"/>
  <c r="S33" i="3" s="1"/>
  <c r="K106" i="1"/>
  <c r="J57" i="13"/>
  <c r="J61" i="13" s="1"/>
  <c r="X136" i="18"/>
  <c r="X140" i="18" s="1"/>
  <c r="X141" i="18" s="1"/>
  <c r="Z136" i="18"/>
  <c r="Z140" i="18" s="1"/>
  <c r="Z141" i="18" s="1"/>
  <c r="S140" i="18"/>
  <c r="S141" i="18" s="1"/>
  <c r="N140" i="18"/>
  <c r="N141" i="18" s="1"/>
  <c r="L41" i="18"/>
  <c r="L142" i="18" s="1"/>
  <c r="M41" i="18"/>
  <c r="M142" i="18" s="1"/>
  <c r="Q41" i="18"/>
  <c r="Q142" i="18" s="1"/>
  <c r="V136" i="18"/>
  <c r="V140" i="18" s="1"/>
  <c r="V141" i="18" s="1"/>
  <c r="G136" i="18"/>
  <c r="G140" i="18" s="1"/>
  <c r="G141" i="18" s="1"/>
  <c r="P41" i="18"/>
  <c r="P142" i="18" s="1"/>
  <c r="M136" i="18"/>
  <c r="M140" i="18" s="1"/>
  <c r="M141" i="18" s="1"/>
  <c r="R136" i="18"/>
  <c r="R140" i="18" s="1"/>
  <c r="R141" i="18" s="1"/>
  <c r="Z41" i="18"/>
  <c r="Z142" i="18" s="1"/>
  <c r="S41" i="18"/>
  <c r="S142" i="18" s="1"/>
  <c r="V41" i="18"/>
  <c r="V142" i="18" s="1"/>
  <c r="W136" i="18"/>
  <c r="W140" i="18" s="1"/>
  <c r="W141" i="18" s="1"/>
  <c r="L39" i="13"/>
  <c r="N39" i="13" s="1"/>
  <c r="T136" i="18"/>
  <c r="T140" i="18" s="1"/>
  <c r="T141" i="18" s="1"/>
  <c r="X41" i="18"/>
  <c r="X142" i="18" s="1"/>
  <c r="I136" i="18"/>
  <c r="I140" i="18" s="1"/>
  <c r="I141" i="18" s="1"/>
  <c r="Q140" i="18"/>
  <c r="Q141" i="18" s="1"/>
  <c r="H41" i="18"/>
  <c r="H142" i="18" s="1"/>
  <c r="P140" i="18"/>
  <c r="P141" i="18" s="1"/>
  <c r="H140" i="18"/>
  <c r="H141" i="18" s="1"/>
  <c r="U41" i="18"/>
  <c r="U142" i="18" s="1"/>
  <c r="F41" i="18"/>
  <c r="F142" i="18" s="1"/>
  <c r="L140" i="18"/>
  <c r="L141" i="18" s="1"/>
  <c r="G41" i="18"/>
  <c r="G142" i="18" s="1"/>
  <c r="E140" i="18"/>
  <c r="E141" i="18" s="1"/>
  <c r="F140" i="18"/>
  <c r="F141" i="18" s="1"/>
  <c r="J140" i="18"/>
  <c r="J141" i="18" s="1"/>
  <c r="O140" i="18"/>
  <c r="O141" i="18" s="1"/>
  <c r="G25" i="13"/>
  <c r="G23" i="13"/>
  <c r="K164" i="1"/>
  <c r="O164" i="1" s="1"/>
  <c r="K140" i="18"/>
  <c r="K141" i="18" s="1"/>
  <c r="Y140" i="18"/>
  <c r="Y141" i="18" s="1"/>
  <c r="U85" i="18"/>
  <c r="U141" i="18" s="1"/>
  <c r="I41" i="18"/>
  <c r="I142" i="18" s="1"/>
  <c r="R41" i="18"/>
  <c r="R142" i="18" s="1"/>
  <c r="O41" i="18"/>
  <c r="O142" i="18" s="1"/>
  <c r="Y41" i="18"/>
  <c r="Y142" i="18" s="1"/>
  <c r="T41" i="18"/>
  <c r="T142" i="18" s="1"/>
  <c r="W41" i="18"/>
  <c r="W142" i="18" s="1"/>
  <c r="J41" i="18"/>
  <c r="J142" i="18" s="1"/>
  <c r="L140" i="13"/>
  <c r="L142" i="13" s="1"/>
  <c r="N97" i="13"/>
  <c r="E19" i="14"/>
  <c r="L90" i="13"/>
  <c r="N90" i="13" s="1"/>
  <c r="L157" i="13"/>
  <c r="I43" i="4"/>
  <c r="H43" i="4"/>
  <c r="F19" i="14"/>
  <c r="S92" i="3"/>
  <c r="N146" i="13"/>
  <c r="N48" i="13"/>
  <c r="L53" i="13"/>
  <c r="O83" i="3"/>
  <c r="S83" i="3" s="1"/>
  <c r="O93" i="3"/>
  <c r="F17" i="14"/>
  <c r="E17" i="14"/>
  <c r="G17" i="14"/>
  <c r="S86" i="3"/>
  <c r="N95" i="13"/>
  <c r="L78" i="13"/>
  <c r="N78" i="13" s="1"/>
  <c r="M223" i="3"/>
  <c r="K223" i="3"/>
  <c r="G140" i="13"/>
  <c r="G93" i="13"/>
  <c r="G91" i="13"/>
  <c r="G84" i="3"/>
  <c r="L29" i="13"/>
  <c r="N29" i="13" s="1"/>
  <c r="N23" i="12"/>
  <c r="N36" i="12" s="1"/>
  <c r="G166" i="1"/>
  <c r="G168" i="1"/>
  <c r="L23" i="13"/>
  <c r="M168" i="1"/>
  <c r="M166" i="1"/>
  <c r="L118" i="13"/>
  <c r="S48" i="1"/>
  <c r="J99" i="13"/>
  <c r="N139" i="13"/>
  <c r="N149" i="13"/>
  <c r="N35" i="13"/>
  <c r="J161" i="13"/>
  <c r="J179" i="13" s="1"/>
  <c r="O146" i="1" l="1"/>
  <c r="O21" i="3"/>
  <c r="S21" i="3" s="1"/>
  <c r="G50" i="3"/>
  <c r="O50" i="3" s="1"/>
  <c r="S50" i="1"/>
  <c r="N23" i="13"/>
  <c r="N140" i="13"/>
  <c r="S164" i="1"/>
  <c r="G183" i="13"/>
  <c r="L183" i="13" s="1"/>
  <c r="G221" i="3"/>
  <c r="O221" i="3" s="1"/>
  <c r="O45" i="3"/>
  <c r="S45" i="3" s="1"/>
  <c r="L91" i="13"/>
  <c r="L99" i="13" s="1"/>
  <c r="L103" i="13" s="1"/>
  <c r="E20" i="14"/>
  <c r="F20" i="14"/>
  <c r="N53" i="13"/>
  <c r="L161" i="13"/>
  <c r="L179" i="13" s="1"/>
  <c r="N157" i="13"/>
  <c r="G142" i="13"/>
  <c r="G99" i="13"/>
  <c r="S93" i="3"/>
  <c r="E203" i="13"/>
  <c r="S86" i="1"/>
  <c r="O84" i="3"/>
  <c r="S84" i="3" s="1"/>
  <c r="G108" i="3"/>
  <c r="G63" i="13"/>
  <c r="J103" i="13"/>
  <c r="L57" i="13"/>
  <c r="G57" i="13"/>
  <c r="G61" i="13" s="1"/>
  <c r="S130" i="1"/>
  <c r="G172" i="3"/>
  <c r="G144" i="13"/>
  <c r="K162" i="1"/>
  <c r="O162" i="1" l="1"/>
  <c r="O168" i="1" s="1"/>
  <c r="G204" i="3"/>
  <c r="S106" i="1"/>
  <c r="G13" i="13"/>
  <c r="E204" i="13"/>
  <c r="G14" i="13" s="1"/>
  <c r="L185" i="13"/>
  <c r="N91" i="13"/>
  <c r="G105" i="13"/>
  <c r="G103" i="13"/>
  <c r="N103" i="13" s="1"/>
  <c r="G118" i="13"/>
  <c r="N99" i="13"/>
  <c r="G161" i="13"/>
  <c r="N161" i="13" s="1"/>
  <c r="O108" i="3"/>
  <c r="G112" i="3"/>
  <c r="N142" i="13"/>
  <c r="G54" i="3"/>
  <c r="O56" i="3" s="1"/>
  <c r="L61" i="13"/>
  <c r="N61" i="13" s="1"/>
  <c r="N57" i="13"/>
  <c r="N183" i="13"/>
  <c r="J185" i="13"/>
  <c r="S146" i="1"/>
  <c r="G163" i="13"/>
  <c r="K166" i="1"/>
  <c r="I172" i="3"/>
  <c r="O174" i="3" s="1"/>
  <c r="I174" i="3"/>
  <c r="S221" i="3"/>
  <c r="O166" i="1" l="1"/>
  <c r="G219" i="3"/>
  <c r="G128" i="3"/>
  <c r="O54" i="3"/>
  <c r="G120" i="13"/>
  <c r="G179" i="13"/>
  <c r="N179" i="13" s="1"/>
  <c r="N118" i="13"/>
  <c r="O172" i="3"/>
  <c r="S172" i="3" s="1"/>
  <c r="G181" i="13"/>
  <c r="O112" i="3"/>
  <c r="S108" i="3"/>
  <c r="S50" i="3"/>
  <c r="S162" i="1"/>
  <c r="S166" i="1" s="1"/>
  <c r="G185" i="13" l="1"/>
  <c r="N185" i="13" s="1"/>
  <c r="G187" i="13"/>
  <c r="O204" i="3"/>
  <c r="O219" i="3" s="1"/>
  <c r="I130" i="3"/>
  <c r="I128" i="3"/>
  <c r="S128" i="3"/>
  <c r="G130" i="3"/>
  <c r="G225" i="3"/>
  <c r="G223" i="3"/>
  <c r="S204" i="3" l="1"/>
  <c r="S219" i="3" s="1"/>
  <c r="S223" i="3" s="1"/>
  <c r="A126" i="10"/>
  <c r="C127" i="10" s="1"/>
  <c r="O130" i="3" l="1"/>
  <c r="O128" i="3"/>
  <c r="O223" i="3" s="1"/>
  <c r="O2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Wykoff</author>
  </authors>
  <commentList>
    <comment ref="D34" authorId="0" shapeId="0" xr:uid="{CEDF5470-9DD5-4235-976E-1D7B1415B2E1}">
      <text>
        <r>
          <rPr>
            <b/>
            <sz val="9"/>
            <color indexed="81"/>
            <rFont val="Tahoma"/>
            <family val="2"/>
          </rPr>
          <t>Jennifer Wykoff:</t>
        </r>
        <r>
          <rPr>
            <sz val="9"/>
            <color indexed="81"/>
            <rFont val="Tahoma"/>
            <family val="2"/>
          </rPr>
          <t xml:space="preserve">
151 per Vera at DOA, does not match signatory card
</t>
        </r>
      </text>
    </comment>
    <comment ref="D35" authorId="0" shapeId="0" xr:uid="{EB1C757D-F2BF-4549-B422-5178E3D41FA3}">
      <text>
        <r>
          <rPr>
            <b/>
            <sz val="9"/>
            <color indexed="81"/>
            <rFont val="Tahoma"/>
            <family val="2"/>
          </rPr>
          <t>Jennifer Wykoff:</t>
        </r>
        <r>
          <rPr>
            <sz val="9"/>
            <color indexed="81"/>
            <rFont val="Tahoma"/>
            <family val="2"/>
          </rPr>
          <t xml:space="preserve">
151 per Vera at DOA, does not match signatory card
</t>
        </r>
      </text>
    </comment>
    <comment ref="D70" authorId="0" shapeId="0" xr:uid="{B6866561-8387-4512-B840-59BBF22477AD}">
      <text>
        <r>
          <rPr>
            <b/>
            <sz val="9"/>
            <color indexed="81"/>
            <rFont val="Tahoma"/>
            <family val="2"/>
          </rPr>
          <t>Jennifer Wykoff:</t>
        </r>
        <r>
          <rPr>
            <sz val="9"/>
            <color indexed="81"/>
            <rFont val="Tahoma"/>
            <family val="2"/>
          </rPr>
          <t xml:space="preserve">
765 stated on signatory card, however DOE completes directive work for this agency
</t>
        </r>
      </text>
    </comment>
    <comment ref="D77" authorId="0" shapeId="0" xr:uid="{B386D0D8-8152-4FA5-B659-45E5C16318D4}">
      <text>
        <r>
          <rPr>
            <b/>
            <sz val="9"/>
            <color indexed="81"/>
            <rFont val="Tahoma"/>
            <family val="2"/>
          </rPr>
          <t>Jennifer Wykoff:</t>
        </r>
        <r>
          <rPr>
            <sz val="9"/>
            <color indexed="81"/>
            <rFont val="Tahoma"/>
            <family val="2"/>
          </rPr>
          <t xml:space="preserve">
151 per Vera at DOA, does not match signatory card
</t>
        </r>
      </text>
    </comment>
    <comment ref="D94" authorId="0" shapeId="0" xr:uid="{33E2E8FD-CD55-4C8B-B4FB-4FA1FB60EB1A}">
      <text>
        <r>
          <rPr>
            <b/>
            <sz val="9"/>
            <color indexed="81"/>
            <rFont val="Tahoma"/>
            <family val="2"/>
          </rPr>
          <t>Jennifer Wykoff:</t>
        </r>
        <r>
          <rPr>
            <sz val="9"/>
            <color indexed="81"/>
            <rFont val="Tahoma"/>
            <family val="2"/>
          </rPr>
          <t xml:space="preserve">
151 per Vera at DOA, does not match signatory card
</t>
        </r>
      </text>
    </comment>
    <comment ref="D113" authorId="0" shapeId="0" xr:uid="{7FFBCEFB-9B4B-44A8-A092-F47B763114C5}">
      <text>
        <r>
          <rPr>
            <b/>
            <sz val="9"/>
            <color indexed="81"/>
            <rFont val="Tahoma"/>
            <family val="2"/>
          </rPr>
          <t>Jennifer Wykoff:</t>
        </r>
        <r>
          <rPr>
            <sz val="9"/>
            <color indexed="81"/>
            <rFont val="Tahoma"/>
            <family val="2"/>
          </rPr>
          <t xml:space="preserve">
signatory card reflects 701, however 711 reports for 711</t>
        </r>
      </text>
    </comment>
    <comment ref="D134" authorId="0" shapeId="0" xr:uid="{DAD45164-3636-4624-8EB5-A173E281F1D8}">
      <text>
        <r>
          <rPr>
            <b/>
            <sz val="9"/>
            <color indexed="81"/>
            <rFont val="Tahoma"/>
            <family val="2"/>
          </rPr>
          <t>Jennifer Wykoff:</t>
        </r>
        <r>
          <rPr>
            <sz val="9"/>
            <color indexed="81"/>
            <rFont val="Tahoma"/>
            <family val="2"/>
          </rPr>
          <t xml:space="preserve">
151 per Vera at DOA, does not match signatory card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JAW</author>
    <author>AEW</author>
    <author>John sotos</author>
    <author>Susan Jones</author>
    <author>Amy Warner</author>
    <author>Esther Kim</author>
  </authors>
  <commentList>
    <comment ref="E6" authorId="0" shapeId="0" xr:uid="{00000000-0006-0000-0400-000001000000}">
      <text>
        <r>
          <rPr>
            <sz val="10"/>
            <color indexed="81"/>
            <rFont val="Times New Roman"/>
            <family val="1"/>
          </rPr>
          <t xml:space="preserve">If this submission is a </t>
        </r>
        <r>
          <rPr>
            <b/>
            <sz val="10"/>
            <color indexed="81"/>
            <rFont val="Times New Roman"/>
            <family val="1"/>
          </rPr>
          <t>revision</t>
        </r>
        <r>
          <rPr>
            <sz val="10"/>
            <color indexed="81"/>
            <rFont val="Times New Roman"/>
            <family val="1"/>
          </rPr>
          <t xml:space="preserve"> to a previous submission for which DOA acknowledged receipt and acceptance, </t>
        </r>
        <r>
          <rPr>
            <b/>
            <sz val="10"/>
            <color indexed="81"/>
            <rFont val="Times New Roman"/>
            <family val="1"/>
          </rPr>
          <t>COMPLETE THE REVISION CONTROL LOG TAB.</t>
        </r>
      </text>
    </comment>
    <comment ref="B26" authorId="1" shapeId="0" xr:uid="{00000000-0006-0000-0400-000002000000}">
      <text>
        <r>
          <rPr>
            <b/>
            <sz val="9"/>
            <color indexed="81"/>
            <rFont val="Tahoma"/>
            <family val="2"/>
          </rPr>
          <t>LGIP EM should be reported on Investments with the Treasurer line</t>
        </r>
      </text>
    </comment>
    <comment ref="O36" authorId="2" shapeId="0" xr:uid="{00000000-0006-0000-0400-000003000000}">
      <text>
        <r>
          <rPr>
            <b/>
            <sz val="10"/>
            <color indexed="81"/>
            <rFont val="Tahoma"/>
            <family val="2"/>
          </rPr>
          <t>Accounts Receivable</t>
        </r>
        <r>
          <rPr>
            <sz val="10"/>
            <color indexed="81"/>
            <rFont val="Tahoma"/>
            <family val="2"/>
          </rPr>
          <t xml:space="preserve">
Accounts Receivable on the fund statements and the government-wide statements should be equivalent.  Receivables to be collected after August 31 are offset with deferred inflows of resources on the fund statements.</t>
        </r>
        <r>
          <rPr>
            <sz val="10"/>
            <color indexed="22"/>
            <rFont val="Tahoma"/>
            <family val="2"/>
          </rPr>
          <t xml:space="preserve">
</t>
        </r>
      </text>
    </comment>
    <comment ref="B76" authorId="3" shapeId="0" xr:uid="{00000000-0006-0000-0400-000004000000}">
      <text>
        <r>
          <rPr>
            <b/>
            <sz val="10"/>
            <color indexed="81"/>
            <rFont val="Tahoma"/>
            <family val="2"/>
          </rPr>
          <t>Unearned revenue relates to revenue received by June 30th but not earned.</t>
        </r>
      </text>
    </comment>
    <comment ref="A94" authorId="4" shapeId="0" xr:uid="{00000000-0006-0000-0400-000005000000}">
      <text>
        <r>
          <rPr>
            <b/>
            <sz val="10"/>
            <color indexed="81"/>
            <rFont val="Tahoma"/>
            <family val="2"/>
          </rPr>
          <t xml:space="preserve">Fund Balance:  </t>
        </r>
        <r>
          <rPr>
            <sz val="10"/>
            <color indexed="81"/>
            <rFont val="Tahoma"/>
            <family val="2"/>
          </rPr>
          <t xml:space="preserve">Classify fund balance per </t>
        </r>
        <r>
          <rPr>
            <b/>
            <u/>
            <sz val="10"/>
            <color indexed="81"/>
            <rFont val="Tahoma"/>
            <family val="2"/>
          </rPr>
          <t>GASBS No. 54</t>
        </r>
        <r>
          <rPr>
            <sz val="10"/>
            <color indexed="81"/>
            <rFont val="Tahoma"/>
            <family val="2"/>
          </rPr>
          <t xml:space="preserve"> classifications.   For definitions refer to the Authoritative Literature/Guidance for Preparation of GAAP Basis Fund Financial Statement Templates which can be found on DOA’s website at www.doa.virginia.gov. Detailed training on this topic is available on the web at the Learning Center at:
https://covlc.virginia.gov.  </t>
        </r>
      </text>
    </comment>
    <comment ref="E106" authorId="2" shapeId="0" xr:uid="{00000000-0006-0000-0400-000006000000}">
      <text>
        <r>
          <rPr>
            <b/>
            <sz val="10"/>
            <color indexed="81"/>
            <rFont val="Tahoma"/>
            <family val="2"/>
          </rPr>
          <t>Total Fund Balance</t>
        </r>
        <r>
          <rPr>
            <sz val="10"/>
            <color indexed="81"/>
            <rFont val="Tahoma"/>
            <family val="2"/>
          </rPr>
          <t xml:space="preserve">
Total fund balance plus total liabilities and deferred inflows must equal total assets plus deferred outflows.  If they do not equal, an "error" message will appear.  Correct as necessary.
</t>
        </r>
      </text>
    </comment>
    <comment ref="O108" authorId="5" shapeId="0" xr:uid="{00000000-0006-0000-0400-000007000000}">
      <text>
        <r>
          <rPr>
            <b/>
            <sz val="10"/>
            <color indexed="81"/>
            <rFont val="Tahoma"/>
            <family val="2"/>
          </rPr>
          <t xml:space="preserve">Check Figures </t>
        </r>
        <r>
          <rPr>
            <sz val="10"/>
            <color indexed="81"/>
            <rFont val="Tahoma"/>
            <family val="2"/>
          </rPr>
          <t xml:space="preserve">display the difference between the sum of total fund balance and total liabilities &amp; deferred inflows </t>
        </r>
        <r>
          <rPr>
            <b/>
            <sz val="10"/>
            <color indexed="81"/>
            <rFont val="Tahoma"/>
            <family val="2"/>
          </rPr>
          <t>AND</t>
        </r>
        <r>
          <rPr>
            <sz val="10"/>
            <color indexed="81"/>
            <rFont val="Tahoma"/>
            <family val="2"/>
          </rPr>
          <t xml:space="preserve"> total assets &amp; deferred outflows.</t>
        </r>
      </text>
    </comment>
    <comment ref="G148" authorId="6" shapeId="0" xr:uid="{00000000-0006-0000-0400-000008000000}">
      <text>
        <r>
          <rPr>
            <b/>
            <sz val="9"/>
            <color indexed="81"/>
            <rFont val="Tahoma"/>
            <family val="2"/>
          </rPr>
          <t>Special Items:</t>
        </r>
        <r>
          <rPr>
            <sz val="9"/>
            <color indexed="81"/>
            <rFont val="Tahoma"/>
            <family val="2"/>
          </rPr>
          <t xml:space="preserve">
Significant transactions or events within Management's control that are EITHER unusual in nature or infrequent in occurrence.</t>
        </r>
      </text>
    </comment>
    <comment ref="G149" authorId="6" shapeId="0" xr:uid="{00000000-0006-0000-0400-000009000000}">
      <text>
        <r>
          <rPr>
            <b/>
            <sz val="9"/>
            <color indexed="81"/>
            <rFont val="Tahoma"/>
            <family val="2"/>
          </rPr>
          <t>Extraordinary Items:</t>
        </r>
        <r>
          <rPr>
            <sz val="9"/>
            <color indexed="81"/>
            <rFont val="Tahoma"/>
            <family val="2"/>
          </rPr>
          <t xml:space="preserve">
Transactions or events that are BOTH unusual in nature and infrequent in occurrence.</t>
        </r>
      </text>
    </comment>
    <comment ref="O153" authorId="5" shapeId="0" xr:uid="{00000000-0006-0000-0400-00000A000000}">
      <text>
        <r>
          <rPr>
            <b/>
            <sz val="9"/>
            <color indexed="81"/>
            <rFont val="Tahoma"/>
            <family val="2"/>
          </rPr>
          <t>Sale of Capital Assets</t>
        </r>
        <r>
          <rPr>
            <sz val="9"/>
            <color indexed="81"/>
            <rFont val="Tahoma"/>
            <family val="2"/>
          </rPr>
          <t xml:space="preserve">
Contact DOA if this line item is needed.</t>
        </r>
      </text>
    </comment>
    <comment ref="G155" authorId="6" shapeId="0" xr:uid="{00000000-0006-0000-0400-00000B000000}">
      <text>
        <r>
          <rPr>
            <b/>
            <sz val="9"/>
            <color indexed="81"/>
            <rFont val="Tahoma"/>
            <family val="2"/>
          </rPr>
          <t>Transfers Out:</t>
        </r>
        <r>
          <rPr>
            <sz val="9"/>
            <color indexed="81"/>
            <rFont val="Tahoma"/>
            <family val="2"/>
          </rPr>
          <t xml:space="preserve">
Enter as a negative whole amount.</t>
        </r>
      </text>
    </comment>
    <comment ref="G164" authorId="5" shapeId="0" xr:uid="{00000000-0006-0000-0400-00000C000000}">
      <text>
        <r>
          <rPr>
            <b/>
            <sz val="8"/>
            <color indexed="81"/>
            <rFont val="Tahoma"/>
            <family val="2"/>
          </rPr>
          <t>Beginning Fund Balance - Cash Basis</t>
        </r>
        <r>
          <rPr>
            <sz val="8"/>
            <color indexed="81"/>
            <rFont val="Tahoma"/>
            <family val="2"/>
          </rPr>
          <t xml:space="preserve">
Cash basis beginning fund balance must agree to the prior year cash basis ending fund balance, unless current year beginning fund balance is restated.   
This cell is linked to the Tab 6-Restatements,  Cash Basis column.  Tab 6 is automatically populated with the prior year ending fund balance for each column.  If a beginning fund balance restatement exists for this column, complete the applicable column in Tab 6; otherwise, adjust the template as necessary to ensure this column's beginning fund balance agrees to the prior year ending fund balance.  </t>
        </r>
      </text>
    </comment>
    <comment ref="M164" authorId="5" shapeId="0" xr:uid="{00000000-0006-0000-0400-00000D000000}">
      <text>
        <r>
          <rPr>
            <b/>
            <sz val="8"/>
            <color indexed="81"/>
            <rFont val="Tahoma"/>
            <family val="2"/>
          </rPr>
          <t xml:space="preserve">Beginning Fund Balance - Modified Accrual Adjusting Entries
</t>
        </r>
        <r>
          <rPr>
            <sz val="8"/>
            <color indexed="81"/>
            <rFont val="Tahoma"/>
            <family val="2"/>
          </rPr>
          <t xml:space="preserve">The beginning fund balance for the modified accrual adjusting entries column must agree to the prior year ending fund balance of the comparable column, unless current year beginning fund balance is restated.
This cell is linked to the Tab 6-Restatements, Modified Accrual Adjusting Entries column.  Tab 6 is automatically populated with the prior year ending fund balance for each column.  If a beginning fund balance restatement exists for this column, complete the applicable column in Tab 6; otherwise, adjust the template as necessary to ensure this column's beginning fund balance agrees to the prior year ending fund balance.
</t>
        </r>
      </text>
    </comment>
    <comment ref="E166" authorId="2" shapeId="0" xr:uid="{00000000-0006-0000-0400-00000E000000}">
      <text>
        <r>
          <rPr>
            <b/>
            <sz val="8"/>
            <color indexed="81"/>
            <rFont val="Tahoma"/>
            <family val="2"/>
          </rPr>
          <t xml:space="preserve">Total Fund Balance
</t>
        </r>
        <r>
          <rPr>
            <sz val="10"/>
            <color indexed="81"/>
            <rFont val="Tahoma"/>
            <family val="2"/>
          </rPr>
          <t>Total fund balance must equal total fund balance on the Balance Sheet.  If amounts are not equal, an "error" message will appear.  Correct as necessary.</t>
        </r>
      </text>
    </comment>
    <comment ref="O168" authorId="5" shapeId="0" xr:uid="{00000000-0006-0000-0400-00000F000000}">
      <text>
        <r>
          <rPr>
            <b/>
            <sz val="10"/>
            <color indexed="81"/>
            <rFont val="Tahoma"/>
            <family val="2"/>
          </rPr>
          <t>Check Figures</t>
        </r>
        <r>
          <rPr>
            <sz val="10"/>
            <color indexed="81"/>
            <rFont val="Tahoma"/>
            <family val="2"/>
          </rPr>
          <t xml:space="preserve">
Displays the difference between the sum of change in fund balance and beginning fund balance on the statement of changes </t>
        </r>
        <r>
          <rPr>
            <b/>
            <sz val="10"/>
            <color indexed="81"/>
            <rFont val="Tahoma"/>
            <family val="2"/>
          </rPr>
          <t xml:space="preserve">AND </t>
        </r>
        <r>
          <rPr>
            <sz val="10"/>
            <color indexed="81"/>
            <rFont val="Tahoma"/>
            <family val="2"/>
          </rPr>
          <t>the</t>
        </r>
        <r>
          <rPr>
            <b/>
            <sz val="10"/>
            <color indexed="81"/>
            <rFont val="Tahoma"/>
            <family val="2"/>
          </rPr>
          <t xml:space="preserve"> </t>
        </r>
        <r>
          <rPr>
            <sz val="10"/>
            <color indexed="81"/>
            <rFont val="Tahoma"/>
            <family val="2"/>
          </rPr>
          <t>total fund balance on the balance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john.sotos</author>
    <author>JAW</author>
    <author>Doug Page</author>
  </authors>
  <commentList>
    <comment ref="C6" authorId="0" shapeId="0" xr:uid="{00000000-0006-0000-05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r>
          <rPr>
            <sz val="8"/>
            <color indexed="81"/>
            <rFont val="Tahoma"/>
            <family val="2"/>
          </rPr>
          <t xml:space="preserve">
</t>
        </r>
      </text>
    </comment>
    <comment ref="E13" authorId="1" shapeId="0" xr:uid="{00000000-0006-0000-0500-000002000000}">
      <text>
        <r>
          <rPr>
            <b/>
            <sz val="9"/>
            <color indexed="81"/>
            <rFont val="Tahoma"/>
            <family val="2"/>
          </rPr>
          <t>Please break out Restricted amounts and provide the balance sheet line item this fund balance relates to.</t>
        </r>
      </text>
    </comment>
    <comment ref="C59" authorId="2" shapeId="0" xr:uid="{00000000-0006-0000-0500-000003000000}">
      <text>
        <r>
          <rPr>
            <b/>
            <sz val="8"/>
            <color indexed="81"/>
            <rFont val="Tahoma"/>
            <family val="2"/>
          </rPr>
          <t>This total must agree to the Nonspendable Fund Balance Total on the Fund Financial Stmt Template tab.</t>
        </r>
        <r>
          <rPr>
            <sz val="8"/>
            <color indexed="81"/>
            <rFont val="Tahoma"/>
            <family val="2"/>
          </rPr>
          <t xml:space="preserve">
</t>
        </r>
      </text>
    </comment>
    <comment ref="E59" authorId="2" shapeId="0" xr:uid="{00000000-0006-0000-0500-000004000000}">
      <text>
        <r>
          <rPr>
            <b/>
            <sz val="8"/>
            <color indexed="81"/>
            <rFont val="Tahoma"/>
            <family val="2"/>
          </rPr>
          <t>This total must agree to the Restricted Fund Balance Total on the Fund Financial Stmt Template tab.</t>
        </r>
        <r>
          <rPr>
            <sz val="8"/>
            <color indexed="81"/>
            <rFont val="Tahoma"/>
            <family val="2"/>
          </rPr>
          <t xml:space="preserve">
</t>
        </r>
      </text>
    </comment>
    <comment ref="G59" authorId="2" shapeId="0" xr:uid="{00000000-0006-0000-0500-000005000000}">
      <text>
        <r>
          <rPr>
            <b/>
            <sz val="8"/>
            <color indexed="81"/>
            <rFont val="Tahoma"/>
            <family val="2"/>
          </rPr>
          <t>This total must agree to the Committed Fund Balance Total on the Fund Financial Stmt Template tab.</t>
        </r>
      </text>
    </comment>
    <comment ref="I59" authorId="2" shapeId="0" xr:uid="{00000000-0006-0000-0500-000006000000}">
      <text>
        <r>
          <rPr>
            <b/>
            <sz val="8"/>
            <color indexed="81"/>
            <rFont val="Tahoma"/>
            <family val="2"/>
          </rPr>
          <t>This total must agree to the Assigned Fund Balance Total on the Fund Financial Stmt Template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Amy Warner</author>
    <author>JAW</author>
    <author>AEW</author>
    <author>John sotos</author>
    <author>Esther Kim</author>
  </authors>
  <commentList>
    <comment ref="E6" authorId="0" shapeId="0" xr:uid="{00000000-0006-0000-0600-000001000000}">
      <text>
        <r>
          <rPr>
            <sz val="9"/>
            <color indexed="81"/>
            <rFont val="Tahoma"/>
            <family val="2"/>
          </rPr>
          <t xml:space="preserve">If this submission is a </t>
        </r>
        <r>
          <rPr>
            <b/>
            <sz val="9"/>
            <color indexed="81"/>
            <rFont val="Tahoma"/>
            <family val="2"/>
          </rPr>
          <t>revision</t>
        </r>
        <r>
          <rPr>
            <sz val="9"/>
            <color indexed="81"/>
            <rFont val="Tahoma"/>
            <family val="2"/>
          </rPr>
          <t xml:space="preserve"> to a previous submission for which DOA acknowledged receipt and acceptance, </t>
        </r>
        <r>
          <rPr>
            <b/>
            <sz val="9"/>
            <color indexed="81"/>
            <rFont val="Tahoma"/>
            <family val="2"/>
          </rPr>
          <t>COMPLETE THE REVISION CONTROL LOG TAB.</t>
        </r>
      </text>
    </comment>
    <comment ref="B23" authorId="1" shapeId="0" xr:uid="{00000000-0006-0000-0600-000002000000}">
      <text>
        <r>
          <rPr>
            <b/>
            <sz val="9"/>
            <color indexed="81"/>
            <rFont val="Tahoma"/>
            <family val="2"/>
          </rPr>
          <t>LGIP EM should be reported on Investments with the Treasurer line.</t>
        </r>
      </text>
    </comment>
    <comment ref="O33" authorId="2" shapeId="0" xr:uid="{00000000-0006-0000-0600-000003000000}">
      <text>
        <r>
          <rPr>
            <b/>
            <sz val="10"/>
            <color indexed="81"/>
            <rFont val="Tahoma"/>
            <family val="2"/>
          </rPr>
          <t>Accounts Receivable</t>
        </r>
        <r>
          <rPr>
            <sz val="10"/>
            <color indexed="81"/>
            <rFont val="Tahoma"/>
            <family val="2"/>
          </rPr>
          <t xml:space="preserve">
Accounts Receivable on the fund statements and the government-wide statements should be equivalent.  Receivables to be collected after August 31 are offset with deferred inflows of resources on the fund statements.</t>
        </r>
      </text>
    </comment>
    <comment ref="G35" authorId="2" shapeId="0" xr:uid="{00000000-0006-0000-0600-000004000000}">
      <text>
        <r>
          <rPr>
            <b/>
            <sz val="9"/>
            <color indexed="81"/>
            <rFont val="Times New Roman"/>
            <family val="1"/>
          </rPr>
          <t xml:space="preserve">Internal Balances
</t>
        </r>
        <r>
          <rPr>
            <sz val="9"/>
            <color indexed="81"/>
            <rFont val="Times New Roman"/>
            <family val="1"/>
          </rPr>
          <t>This is the net of 'Due from Other Funds' and 'Due to Other Funds' from the fund statements.</t>
        </r>
        <r>
          <rPr>
            <sz val="8"/>
            <color indexed="81"/>
            <rFont val="Times New Roman"/>
            <family val="1"/>
          </rPr>
          <t xml:space="preserve">
</t>
        </r>
      </text>
    </comment>
    <comment ref="O47" authorId="0" shapeId="0" xr:uid="{00000000-0006-0000-0600-000005000000}">
      <text>
        <r>
          <rPr>
            <b/>
            <sz val="10"/>
            <color indexed="81"/>
            <rFont val="Tahoma"/>
            <family val="2"/>
          </rPr>
          <t xml:space="preserve">Capital Assets
</t>
        </r>
        <r>
          <rPr>
            <sz val="10"/>
            <color indexed="81"/>
            <rFont val="Tahoma"/>
            <family val="2"/>
          </rPr>
          <t xml:space="preserve">Contact DOA if this fund contains Capital Assets.
</t>
        </r>
      </text>
    </comment>
    <comment ref="O106" authorId="0" shapeId="0" xr:uid="{00000000-0006-0000-0600-000006000000}">
      <text>
        <r>
          <rPr>
            <b/>
            <sz val="10"/>
            <color indexed="81"/>
            <rFont val="Tahoma"/>
            <family val="2"/>
          </rPr>
          <t>Long-term Liabilities</t>
        </r>
        <r>
          <rPr>
            <sz val="10"/>
            <color indexed="81"/>
            <rFont val="Tahoma"/>
            <family val="2"/>
          </rPr>
          <t xml:space="preserve">
Contact DOA to unhide this tab if these line items are used.</t>
        </r>
      </text>
    </comment>
    <comment ref="E128" authorId="2" shapeId="0" xr:uid="{00000000-0006-0000-0600-000007000000}">
      <text>
        <r>
          <rPr>
            <b/>
            <sz val="9"/>
            <color indexed="81"/>
            <rFont val="Tahoma"/>
            <family val="2"/>
          </rPr>
          <t>Total Net Position</t>
        </r>
        <r>
          <rPr>
            <sz val="9"/>
            <color indexed="81"/>
            <rFont val="Tahoma"/>
            <family val="2"/>
          </rPr>
          <t xml:space="preserve">
Total Net Position plus Total Liabilities and Deferred Inflows of Resources must equal Total Assets plus Deferred Outflows of Resources.  If amounts are not equal, an "error" message will appear.  Correct as necessary.</t>
        </r>
      </text>
    </comment>
    <comment ref="I128" authorId="2" shapeId="0" xr:uid="{00000000-0006-0000-0600-000008000000}">
      <text>
        <r>
          <rPr>
            <b/>
            <sz val="9"/>
            <color indexed="81"/>
            <rFont val="Tahoma"/>
            <family val="2"/>
          </rPr>
          <t>Total Net Position</t>
        </r>
        <r>
          <rPr>
            <sz val="9"/>
            <color indexed="81"/>
            <rFont val="Tahoma"/>
            <family val="2"/>
          </rPr>
          <t xml:space="preserve">
Total Net Position must be reclassified to Restricted/Unrestricted classifications.  Total must equal total fund balance per the Fund Financial Statement Template, or an "error" message will appear.  Correct as necessary.</t>
        </r>
      </text>
    </comment>
    <comment ref="I172" authorId="2" shapeId="0" xr:uid="{00000000-0006-0000-0600-000009000000}">
      <text>
        <r>
          <rPr>
            <b/>
            <sz val="10"/>
            <color indexed="81"/>
            <rFont val="Tahoma"/>
            <family val="2"/>
          </rPr>
          <t>Total Revenues</t>
        </r>
        <r>
          <rPr>
            <sz val="10"/>
            <color indexed="81"/>
            <rFont val="Tahoma"/>
            <family val="2"/>
          </rPr>
          <t xml:space="preserve">
Reclassify revenue to </t>
        </r>
        <r>
          <rPr>
            <b/>
            <u/>
            <sz val="10"/>
            <color indexed="81"/>
            <rFont val="Tahoma"/>
            <family val="2"/>
          </rPr>
          <t>GASBS No. 34</t>
        </r>
        <r>
          <rPr>
            <b/>
            <sz val="10"/>
            <color indexed="81"/>
            <rFont val="Tahoma"/>
            <family val="2"/>
          </rPr>
          <t xml:space="preserve">  </t>
        </r>
        <r>
          <rPr>
            <sz val="10"/>
            <color indexed="81"/>
            <rFont val="Tahoma"/>
            <family val="2"/>
          </rPr>
          <t xml:space="preserve">Revenue Classifications.  This total must agree to total revenue per Fund Financial Statement Template, or an "error" message will appear.  Correct as necessary.
</t>
        </r>
      </text>
    </comment>
    <comment ref="D191" authorId="3" shapeId="0" xr:uid="{00000000-0006-0000-0600-00000A000000}">
      <text>
        <r>
          <rPr>
            <b/>
            <sz val="8"/>
            <color indexed="81"/>
            <rFont val="Tahoma"/>
            <family val="2"/>
          </rPr>
          <t xml:space="preserve">Bond Issuance Costs
</t>
        </r>
        <r>
          <rPr>
            <sz val="8"/>
            <color indexed="81"/>
            <rFont val="Tahoma"/>
            <family val="2"/>
          </rPr>
          <t>Bond issuance expenditures recorded by function on the fund statements must be reclassified to this line item on the government-wide statements</t>
        </r>
      </text>
    </comment>
    <comment ref="O199" authorId="2" shapeId="0" xr:uid="{00000000-0006-0000-0600-00000B000000}">
      <text>
        <r>
          <rPr>
            <b/>
            <sz val="8"/>
            <color indexed="81"/>
            <rFont val="Times New Roman"/>
            <family val="1"/>
          </rPr>
          <t>Principal Retirement</t>
        </r>
        <r>
          <rPr>
            <sz val="8"/>
            <color indexed="81"/>
            <rFont val="Times New Roman"/>
            <family val="1"/>
          </rPr>
          <t xml:space="preserve">
This total should equal zero due to the fact that this should have been eliminated on the government-wide statements.</t>
        </r>
      </text>
    </comment>
    <comment ref="O200" authorId="2" shapeId="0" xr:uid="{00000000-0006-0000-0600-00000C000000}">
      <text>
        <r>
          <rPr>
            <b/>
            <sz val="8"/>
            <color indexed="81"/>
            <rFont val="Times New Roman"/>
            <family val="1"/>
          </rPr>
          <t>Interest and Charges</t>
        </r>
        <r>
          <rPr>
            <sz val="8"/>
            <color indexed="81"/>
            <rFont val="Times New Roman"/>
            <family val="1"/>
          </rPr>
          <t xml:space="preserve">
This total should equal zero due to the fact that this should have been eliminated on the government-wide statements.</t>
        </r>
      </text>
    </comment>
    <comment ref="K206" authorId="4" shapeId="0" xr:uid="{00000000-0006-0000-0600-00000D000000}">
      <text>
        <r>
          <rPr>
            <b/>
            <sz val="9"/>
            <color indexed="81"/>
            <rFont val="Times New Roman"/>
            <family val="1"/>
          </rPr>
          <t>Special Items:</t>
        </r>
        <r>
          <rPr>
            <sz val="9"/>
            <color indexed="81"/>
            <rFont val="Times New Roman"/>
            <family val="1"/>
          </rPr>
          <t xml:space="preserve">
Significant transactions or events within Management's control that are EITHER unusual in nature OR infrequent in occurrence.
</t>
        </r>
      </text>
    </comment>
    <comment ref="K207" authorId="4" shapeId="0" xr:uid="{00000000-0006-0000-0600-00000E000000}">
      <text>
        <r>
          <rPr>
            <b/>
            <sz val="9"/>
            <color indexed="81"/>
            <rFont val="Times New Roman"/>
            <family val="1"/>
          </rPr>
          <t>Extraordinary Items:</t>
        </r>
        <r>
          <rPr>
            <sz val="9"/>
            <color indexed="81"/>
            <rFont val="Times New Roman"/>
            <family val="1"/>
          </rPr>
          <t xml:space="preserve">
Transactions or events that are BOTH unusual in nature and infrequent in occurrence.</t>
        </r>
        <r>
          <rPr>
            <sz val="9"/>
            <color indexed="81"/>
            <rFont val="Tahoma"/>
            <family val="2"/>
          </rPr>
          <t xml:space="preserve">
</t>
        </r>
      </text>
    </comment>
    <comment ref="O210" authorId="2" shapeId="0" xr:uid="{00000000-0006-0000-0600-00000F000000}">
      <text>
        <r>
          <rPr>
            <b/>
            <sz val="9"/>
            <color indexed="81"/>
            <rFont val="Times New Roman"/>
            <family val="1"/>
          </rPr>
          <t>Insurance Recoveries</t>
        </r>
        <r>
          <rPr>
            <sz val="9"/>
            <color indexed="81"/>
            <rFont val="Times New Roman"/>
            <family val="1"/>
          </rPr>
          <t xml:space="preserve">
This total should equal zero due to the fact that this should have been reclassified to Program Revenue on the government-wide statements.</t>
        </r>
      </text>
    </comment>
    <comment ref="O211" authorId="2" shapeId="0" xr:uid="{00000000-0006-0000-0600-000010000000}">
      <text>
        <r>
          <rPr>
            <b/>
            <sz val="9"/>
            <color indexed="81"/>
            <rFont val="Times New Roman"/>
            <family val="1"/>
          </rPr>
          <t>Sale of Capital Assets</t>
        </r>
        <r>
          <rPr>
            <sz val="9"/>
            <color indexed="81"/>
            <rFont val="Times New Roman"/>
            <family val="1"/>
          </rPr>
          <t xml:space="preserve">
This total should equal zero due to the fact that this should have been eliminated on the government-wide statements.   Contact DOA if this line item is needed.</t>
        </r>
      </text>
    </comment>
    <comment ref="G212" authorId="2" shapeId="0" xr:uid="{00000000-0006-0000-0600-000011000000}">
      <text>
        <r>
          <rPr>
            <b/>
            <sz val="9"/>
            <color indexed="81"/>
            <rFont val="Times New Roman"/>
            <family val="1"/>
          </rPr>
          <t>Transfers</t>
        </r>
        <r>
          <rPr>
            <sz val="9"/>
            <color indexed="81"/>
            <rFont val="Times New Roman"/>
            <family val="1"/>
          </rPr>
          <t xml:space="preserve">
This is the net of 'Transfers In' and 'Transfers Out' on the fund statements.</t>
        </r>
      </text>
    </comment>
    <comment ref="O213" authorId="2" shapeId="0" xr:uid="{00000000-0006-0000-0600-000012000000}">
      <text>
        <r>
          <rPr>
            <b/>
            <sz val="8"/>
            <color indexed="81"/>
            <rFont val="Tahoma"/>
            <family val="2"/>
          </rPr>
          <t xml:space="preserve">Bonds Issued
Premium on Bond 
    Issuance
Refunding Bonds
    Issued
Premium on Refunding
    Bond Issuance
Pmt to Refunded 
    Bond Escrow
    Agent
</t>
        </r>
        <r>
          <rPr>
            <sz val="8"/>
            <color indexed="81"/>
            <rFont val="Tahoma"/>
            <family val="2"/>
          </rPr>
          <t>These totals should equal zero due to the fact that these items should have been eliminated on the government-wide statements.</t>
        </r>
        <r>
          <rPr>
            <sz val="8"/>
            <color indexed="81"/>
            <rFont val="Tahoma"/>
            <family val="2"/>
          </rPr>
          <t xml:space="preserve">
</t>
        </r>
      </text>
    </comment>
    <comment ref="K221" authorId="0" shapeId="0" xr:uid="{00000000-0006-0000-0600-000013000000}">
      <text>
        <r>
          <rPr>
            <b/>
            <sz val="9"/>
            <color indexed="81"/>
            <rFont val="Tahoma"/>
            <family val="2"/>
          </rPr>
          <t>Beginning Net Position - Full Accrual Adjusting Entries</t>
        </r>
        <r>
          <rPr>
            <sz val="9"/>
            <color indexed="81"/>
            <rFont val="Tahoma"/>
            <family val="2"/>
          </rPr>
          <t xml:space="preserve">
The beginning net position for the full accrual adjusting entries column must agree to the prior year ending net position of the comparable column, unless current year beginning net position is restated.
This cell is linked to the Tab 6-Restatements, Full Accrual Adjusting Entries column.  Tab 6 is automatically populated with the prior year ending net position for each column.  If a beginning net position restatement exists for this column, complete the applicable column in Tab 6; otherwise, adjust the template as necessary to ensure this column's beginning net position agrees to the prior year ending net position.
</t>
        </r>
      </text>
    </comment>
    <comment ref="M221" authorId="0" shapeId="0" xr:uid="{00000000-0006-0000-0600-000014000000}">
      <text>
        <r>
          <rPr>
            <b/>
            <sz val="9"/>
            <color indexed="81"/>
            <rFont val="Tahoma"/>
            <family val="2"/>
          </rPr>
          <t>Beginning Net Position - Other Gov't-wide Adjusting Entries</t>
        </r>
        <r>
          <rPr>
            <sz val="9"/>
            <color indexed="81"/>
            <rFont val="Tahoma"/>
            <family val="2"/>
          </rPr>
          <t xml:space="preserve">
The beginning net position for the other gov't-wide adjusting entries column must agree to the prior year ending net position of the comparable column, unless current year beginning net position is restated.
This cell is linked to the Tab 6-Restatements, Other Gov't-wide Adjusting Entries column.  Tab 6 is automatically populated with the prior year ending net position for each column.  If a beginning net position restatement exists for this column, complete the applicable column in Tab 6; otherwise, adjust the template as necessary to ensure this column's beginning net position agrees to the prior year ending net position.</t>
        </r>
      </text>
    </comment>
    <comment ref="E223" authorId="2" shapeId="0" xr:uid="{00000000-0006-0000-0600-000015000000}">
      <text>
        <r>
          <rPr>
            <b/>
            <sz val="10"/>
            <color indexed="81"/>
            <rFont val="Tahoma"/>
            <family val="2"/>
          </rPr>
          <t xml:space="preserve">Total Net Position
</t>
        </r>
        <r>
          <rPr>
            <sz val="10"/>
            <color indexed="81"/>
            <rFont val="Tahoma"/>
            <family val="2"/>
          </rPr>
          <t xml:space="preserve">Total net position must equal total net position on the Statement of Net Position.  If they do not agree, an "error" message will appear.  Correct as necessary.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dba</author>
    <author>Kevin L. Salminen</author>
    <author>Gemma Yu-Meade</author>
  </authors>
  <commentList>
    <comment ref="D8" authorId="0" shapeId="0" xr:uid="{00000000-0006-0000-0700-000001000000}">
      <text>
        <r>
          <rPr>
            <sz val="8"/>
            <color indexed="81"/>
            <rFont val="Tahoma"/>
            <family val="2"/>
          </rPr>
          <t xml:space="preserve">If this submission is a revision to a previous submission for which DOA acknowledged receipt and acceptance, </t>
        </r>
        <r>
          <rPr>
            <b/>
            <sz val="8"/>
            <color indexed="81"/>
            <rFont val="Tahoma"/>
            <family val="2"/>
          </rPr>
          <t>COMPLETE THE REVISION CONTROL LOG TAB.</t>
        </r>
        <r>
          <rPr>
            <sz val="8"/>
            <color indexed="81"/>
            <rFont val="Tahoma"/>
            <family val="2"/>
          </rPr>
          <t xml:space="preserve">
</t>
        </r>
      </text>
    </comment>
    <comment ref="H13" authorId="1" shapeId="0" xr:uid="{00000000-0006-0000-0700-000002000000}">
      <text>
        <r>
          <rPr>
            <sz val="9"/>
            <color indexed="81"/>
            <rFont val="Tahoma"/>
            <family val="2"/>
          </rPr>
          <t>Linked to the Fund Financial Statement Template Cash held with the Treasurer.</t>
        </r>
      </text>
    </comment>
    <comment ref="H16" authorId="1" shapeId="0" xr:uid="{00000000-0006-0000-0700-000003000000}">
      <text>
        <r>
          <rPr>
            <sz val="9"/>
            <color indexed="81"/>
            <rFont val="Tahoma"/>
            <family val="2"/>
          </rPr>
          <t>Linked to the Fund Financial Statement Template Cash NOT held with the Treasurer.</t>
        </r>
      </text>
    </comment>
    <comment ref="H43" authorId="1" shapeId="0" xr:uid="{00000000-0006-0000-0700-000004000000}">
      <text>
        <r>
          <rPr>
            <sz val="9"/>
            <color indexed="81"/>
            <rFont val="Tahoma"/>
            <family val="2"/>
          </rPr>
          <t>This is the sum of 3a, 3b, &amp; 3c.  It should agree to the amount reported in 2.2 above.</t>
        </r>
      </text>
    </comment>
    <comment ref="G92" authorId="2" shapeId="0" xr:uid="{00000000-0006-0000-0700-000005000000}">
      <text>
        <r>
          <rPr>
            <sz val="9"/>
            <color indexed="81"/>
            <rFont val="Tahoma"/>
            <family val="2"/>
          </rPr>
          <t>Total LGIP must agree to the Modified Accrual Basis Fund Financial Statement.  Otherwise an "error" message will appear.</t>
        </r>
      </text>
    </comment>
    <comment ref="H92" authorId="2" shapeId="0" xr:uid="{00000000-0006-0000-0700-000006000000}">
      <text>
        <r>
          <rPr>
            <sz val="9"/>
            <color indexed="81"/>
            <rFont val="Tahoma"/>
            <family val="2"/>
          </rPr>
          <t>Total LGIP EM should be reported on the "Investments with the Treasurer" line on the Modified Accrual Basis Fund Financial Statement.</t>
        </r>
      </text>
    </comment>
    <comment ref="H118" authorId="1" shapeId="0" xr:uid="{00000000-0006-0000-0700-000007000000}">
      <text>
        <r>
          <rPr>
            <sz val="9"/>
            <color indexed="81"/>
            <rFont val="Tahoma"/>
            <family val="2"/>
          </rPr>
          <t>Linked to the Fund Financial Statement Template Cash Equivalents and Investments NOT held with the Treasurer.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dba</author>
    <author>Aneri Patel</author>
  </authors>
  <commentList>
    <comment ref="C7" authorId="0" shapeId="0" xr:uid="{00000000-0006-0000-0800-000001000000}">
      <text>
        <r>
          <rPr>
            <sz val="10"/>
            <color indexed="81"/>
            <rFont val="Tahoma"/>
            <family val="2"/>
          </rPr>
          <t xml:space="preserve">If this submission is a </t>
        </r>
        <r>
          <rPr>
            <b/>
            <sz val="10"/>
            <color indexed="81"/>
            <rFont val="Tahoma"/>
            <family val="2"/>
          </rPr>
          <t>revision</t>
        </r>
        <r>
          <rPr>
            <sz val="10"/>
            <color indexed="81"/>
            <rFont val="Tahoma"/>
            <family val="2"/>
          </rPr>
          <t xml:space="preserve"> to a previous submission for which DOA acknowledged receipt and acceptance, </t>
        </r>
        <r>
          <rPr>
            <b/>
            <sz val="10"/>
            <color indexed="81"/>
            <rFont val="Tahoma"/>
            <family val="2"/>
          </rPr>
          <t>COMPLETE THE REVISION CONTROL LOG TAB</t>
        </r>
        <r>
          <rPr>
            <sz val="10"/>
            <color indexed="81"/>
            <rFont val="Tahoma"/>
            <family val="2"/>
          </rPr>
          <t xml:space="preserve">.
</t>
        </r>
      </text>
    </comment>
    <comment ref="K10" authorId="1" shapeId="0" xr:uid="{00000000-0006-0000-0800-000002000000}">
      <text>
        <r>
          <rPr>
            <sz val="9"/>
            <color indexed="81"/>
            <rFont val="Tahoma"/>
            <family val="2"/>
          </rPr>
          <t xml:space="preserve">Commonly used ratings of Moody's, S&amp;P, and Fitch are provided in each credit rating column. If the agency has debt securities rated by one of the rating agencies and the agency is unable to categorize them into one of the credit rating columns below, </t>
        </r>
        <r>
          <rPr>
            <u/>
            <sz val="9"/>
            <color indexed="81"/>
            <rFont val="Tahoma"/>
            <family val="2"/>
          </rPr>
          <t>do not</t>
        </r>
        <r>
          <rPr>
            <sz val="9"/>
            <color indexed="81"/>
            <rFont val="Tahoma"/>
            <family val="2"/>
          </rPr>
          <t xml:space="preserve"> categorize such securities in the "Unrated" column. Contact DOA for appropriate reporting.
</t>
        </r>
      </text>
    </comment>
    <comment ref="A11" authorId="1" shapeId="0" xr:uid="{00000000-0006-0000-0800-000003000000}">
      <text>
        <r>
          <rPr>
            <b/>
            <u/>
            <sz val="9"/>
            <color indexed="81"/>
            <rFont val="Tahoma"/>
            <family val="2"/>
          </rPr>
          <t>Note</t>
        </r>
        <r>
          <rPr>
            <sz val="9"/>
            <color indexed="81"/>
            <rFont val="Tahoma"/>
            <family val="2"/>
          </rPr>
          <t xml:space="preserve">:  This tab has been left unprotected and unlocked, so that rows may be added or information copied into it.  If rows are added, please ensure that the "Type" and "Investment" descriptions in columns A and B and the formulas at columns  P, Q, Y, Z, AF, AG,  AH and AI are copied into the new rows.
</t>
        </r>
      </text>
    </comment>
    <comment ref="Y11" authorId="1" shapeId="0" xr:uid="{00000000-0006-0000-0800-000004000000}">
      <text>
        <r>
          <rPr>
            <b/>
            <sz val="9"/>
            <color indexed="81"/>
            <rFont val="Tahoma"/>
            <family val="2"/>
          </rPr>
          <t xml:space="preserve">Total Reported Amount: </t>
        </r>
        <r>
          <rPr>
            <sz val="9"/>
            <color indexed="81"/>
            <rFont val="Tahoma"/>
            <family val="2"/>
          </rPr>
          <t xml:space="preserve"> For the debt securities an "error" message will appear if the sum of the amounts for interest rate risk (the sum of the amounts for  "Less Than 1 Year", "1-5 Years", "6-10 Years" and "Greater Than 10 Years")  does not equal the sum of the amounts for custodial credit risk for each security (the sum of the amounts for "Held by Counterparty", "Held by Counterparty's Trust Department or Agent but not in Government's Name", and "Uncategorized").
</t>
        </r>
      </text>
    </comment>
    <comment ref="AH11" authorId="1" shapeId="0" xr:uid="{00000000-0006-0000-0800-000005000000}">
      <text>
        <r>
          <rPr>
            <b/>
            <sz val="9"/>
            <color indexed="81"/>
            <rFont val="Tahoma"/>
            <family val="2"/>
          </rPr>
          <t>Accuracy check</t>
        </r>
        <r>
          <rPr>
            <sz val="9"/>
            <color indexed="81"/>
            <rFont val="Tahoma"/>
            <family val="2"/>
          </rPr>
          <t xml:space="preserve">: For the debt securities, total reported amount per column  P, column Y, and column AF must agree. If it does not, an "Error" message will appear. Verify accuracy and make necessary corrections.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dba</author>
    <author>Aneri Patel</author>
  </authors>
  <commentList>
    <comment ref="E7" authorId="0" shapeId="0" xr:uid="{00000000-0006-0000-0900-000001000000}">
      <text>
        <r>
          <rPr>
            <sz val="10"/>
            <color indexed="81"/>
            <rFont val="Tahoma"/>
            <family val="2"/>
          </rPr>
          <t xml:space="preserve">If this submission is a </t>
        </r>
        <r>
          <rPr>
            <b/>
            <sz val="10"/>
            <color indexed="81"/>
            <rFont val="Tahoma"/>
            <family val="2"/>
          </rPr>
          <t>revision</t>
        </r>
        <r>
          <rPr>
            <sz val="10"/>
            <color indexed="81"/>
            <rFont val="Tahoma"/>
            <family val="2"/>
          </rPr>
          <t xml:space="preserve"> to a previous submission for which DOA acknowledged receipt and acceptance, </t>
        </r>
        <r>
          <rPr>
            <b/>
            <sz val="10"/>
            <color indexed="81"/>
            <rFont val="Tahoma"/>
            <family val="2"/>
          </rPr>
          <t>COMPLETE THE REVISION CONTROL LOG TAB</t>
        </r>
        <r>
          <rPr>
            <sz val="10"/>
            <color indexed="81"/>
            <rFont val="Tahoma"/>
            <family val="2"/>
          </rPr>
          <t xml:space="preserve">.
</t>
        </r>
      </text>
    </comment>
    <comment ref="BS65" authorId="1" shapeId="0" xr:uid="{00000000-0006-0000-0900-000002000000}">
      <text>
        <r>
          <rPr>
            <sz val="9"/>
            <color indexed="81"/>
            <rFont val="Tahoma"/>
            <family val="2"/>
          </rPr>
          <t xml:space="preserve">The total fair value of foreign currency should agree to the Step 7 amount that was reported on the "Tab 1A-GASB 3-40" tab.  If it does not, an "error" message will appear.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dba</author>
  </authors>
  <commentList>
    <comment ref="B6" authorId="0" shapeId="0" xr:uid="{00000000-0006-0000-0A00-000001000000}">
      <text>
        <r>
          <rPr>
            <sz val="8"/>
            <color indexed="81"/>
            <rFont val="Tahoma"/>
            <family val="2"/>
          </rPr>
          <t>If this submission is a</t>
        </r>
        <r>
          <rPr>
            <b/>
            <sz val="8"/>
            <color indexed="81"/>
            <rFont val="Tahoma"/>
            <family val="2"/>
          </rPr>
          <t xml:space="preserve"> revision</t>
        </r>
        <r>
          <rPr>
            <sz val="8"/>
            <color indexed="81"/>
            <rFont val="Tahoma"/>
            <family val="2"/>
          </rPr>
          <t xml:space="preserve"> to a previous submission for which DOA acknowledged receipt and acceptance, </t>
        </r>
        <r>
          <rPr>
            <b/>
            <sz val="8"/>
            <color indexed="81"/>
            <rFont val="Tahoma"/>
            <family val="2"/>
          </rPr>
          <t>COMPLETE THE REVISION CONTROL LOG TAB</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dba</author>
    <author>Mary Christine Tuck</author>
  </authors>
  <commentList>
    <comment ref="B6" authorId="0" shapeId="0" xr:uid="{00000000-0006-0000-0B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r>
          <rPr>
            <sz val="8"/>
            <color indexed="81"/>
            <rFont val="Tahoma"/>
            <family val="2"/>
          </rPr>
          <t xml:space="preserve">
</t>
        </r>
      </text>
    </comment>
    <comment ref="B29" authorId="1" shapeId="0" xr:uid="{00000000-0006-0000-0B00-000002000000}">
      <text>
        <r>
          <rPr>
            <b/>
            <sz val="8"/>
            <color indexed="81"/>
            <rFont val="Tahoma"/>
            <family val="2"/>
          </rPr>
          <t>Total Receivables, Net:</t>
        </r>
        <r>
          <rPr>
            <sz val="8"/>
            <color indexed="81"/>
            <rFont val="Tahoma"/>
            <family val="2"/>
          </rPr>
          <t xml:space="preserve">
Total Receivables, Net per this footnote must agree to the Total Receivables, Net reported on the Balance Sheet.  If not, an "error" message will appear.  Correct as necessary.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AEW</author>
  </authors>
  <commentList>
    <comment ref="B6" authorId="0" shapeId="0" xr:uid="{00000000-0006-0000-0C00-000001000000}">
      <text>
        <r>
          <rPr>
            <sz val="10"/>
            <color indexed="81"/>
            <rFont val="Tahoma"/>
            <family val="2"/>
          </rPr>
          <t xml:space="preserve">If this submission is a </t>
        </r>
        <r>
          <rPr>
            <b/>
            <sz val="10"/>
            <color indexed="81"/>
            <rFont val="Tahoma"/>
            <family val="2"/>
          </rPr>
          <t>revision</t>
        </r>
        <r>
          <rPr>
            <sz val="10"/>
            <color indexed="81"/>
            <rFont val="Tahoma"/>
            <family val="2"/>
          </rPr>
          <t xml:space="preserve"> to a previous submission for which DOA acknowledged receipt and acceptance, </t>
        </r>
        <r>
          <rPr>
            <b/>
            <sz val="10"/>
            <color indexed="81"/>
            <rFont val="Tahoma"/>
            <family val="2"/>
          </rPr>
          <t>COMPLETE THE REVISION CONTROL LOG TAB</t>
        </r>
        <r>
          <rPr>
            <sz val="10"/>
            <color indexed="81"/>
            <rFont val="Tahoma"/>
            <family val="2"/>
          </rPr>
          <t>.</t>
        </r>
      </text>
    </comment>
    <comment ref="G29" authorId="0" shapeId="0" xr:uid="{00000000-0006-0000-0C00-000002000000}">
      <text>
        <r>
          <rPr>
            <b/>
            <sz val="10"/>
            <color indexed="81"/>
            <rFont val="Tahoma"/>
            <family val="2"/>
          </rPr>
          <t>Total Due From Other Funds</t>
        </r>
        <r>
          <rPr>
            <sz val="10"/>
            <color indexed="81"/>
            <rFont val="Tahoma"/>
            <family val="2"/>
          </rPr>
          <t xml:space="preserve">
Total Due From Other Funds per this footnote must agree to the Due From Other Funds reported on the Fund Statement Balance Sheet.  If not, an "error" message will appear.  Correct as necessary.
</t>
        </r>
      </text>
    </comment>
    <comment ref="G42" authorId="0" shapeId="0" xr:uid="{00000000-0006-0000-0C00-000003000000}">
      <text>
        <r>
          <rPr>
            <b/>
            <sz val="10"/>
            <color indexed="81"/>
            <rFont val="Tahoma"/>
            <family val="2"/>
          </rPr>
          <t xml:space="preserve">Total Due To Other Funds
</t>
        </r>
        <r>
          <rPr>
            <sz val="10"/>
            <color indexed="81"/>
            <rFont val="Tahoma"/>
            <family val="2"/>
          </rPr>
          <t>Total Due To Other Funds per this footnote must agree to the Due To Other Funds reported on the Fund Statement Balance Sheet.  If not, an "error" message will appear.  Correct as necessary.</t>
        </r>
      </text>
    </comment>
    <comment ref="H55" authorId="0" shapeId="0" xr:uid="{00000000-0006-0000-0C00-000004000000}">
      <text>
        <r>
          <rPr>
            <b/>
            <sz val="10"/>
            <color indexed="81"/>
            <rFont val="Tahoma"/>
            <family val="2"/>
          </rPr>
          <t xml:space="preserve">Total Due From Other State Agencies
</t>
        </r>
        <r>
          <rPr>
            <sz val="10"/>
            <color indexed="81"/>
            <rFont val="Tahoma"/>
            <family val="2"/>
          </rPr>
          <t xml:space="preserve">Total Due From Other State Agencies per this footnote must agree to the Due From Other State Agencies reported on the Fund Statement Balance Sheet.  If not, an "error" message will appear.  Correct as necessary.
</t>
        </r>
      </text>
    </comment>
    <comment ref="H68" authorId="0" shapeId="0" xr:uid="{00000000-0006-0000-0C00-000005000000}">
      <text>
        <r>
          <rPr>
            <b/>
            <sz val="10"/>
            <color indexed="81"/>
            <rFont val="Tahoma"/>
            <family val="2"/>
          </rPr>
          <t xml:space="preserve">Total Due To Other State Agencies
</t>
        </r>
        <r>
          <rPr>
            <sz val="10"/>
            <color indexed="81"/>
            <rFont val="Tahoma"/>
            <family val="2"/>
          </rPr>
          <t>Total Due To Other State Agencies per this footnote must agree to the Due To Other State Agencies reported on the Fund Statement Balance Sheet.  If not, an "error" message will appear.  Correct as necessary.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Amy Warner</author>
  </authors>
  <commentList>
    <comment ref="B6" authorId="0" shapeId="0" xr:uid="{00000000-0006-0000-0D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text>
    </comment>
    <comment ref="B101" authorId="0" shapeId="0" xr:uid="{00000000-0006-0000-0D00-000002000000}">
      <text>
        <r>
          <rPr>
            <b/>
            <sz val="10"/>
            <color indexed="81"/>
            <rFont val="Tahoma"/>
            <family val="2"/>
          </rPr>
          <t xml:space="preserve">Total Prepaid Items </t>
        </r>
        <r>
          <rPr>
            <sz val="10"/>
            <color indexed="81"/>
            <rFont val="Tahoma"/>
            <family val="2"/>
          </rPr>
          <t>must equal prepaid items reported on the Balance Sheet.  If not, an "error" message will appear. Correct as necessary.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AEW</author>
  </authors>
  <commentList>
    <comment ref="B6" authorId="0" shapeId="0" xr:uid="{00000000-0006-0000-0E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text>
    </comment>
    <comment ref="I29" authorId="0" shapeId="0" xr:uid="{00000000-0006-0000-0E00-000002000000}">
      <text>
        <r>
          <rPr>
            <b/>
            <sz val="8"/>
            <color indexed="81"/>
            <rFont val="Tahoma"/>
            <family val="2"/>
          </rPr>
          <t>Total Transfers In</t>
        </r>
        <r>
          <rPr>
            <sz val="8"/>
            <color indexed="81"/>
            <rFont val="Tahoma"/>
            <family val="2"/>
          </rPr>
          <t xml:space="preserve">
Total Transfers In per this footnote must agree to the Transfers In reported on the Fund Statement of Revenues, Expenditures and Changes in Fund Balance.  If not, an "error" message will appear.  Correct as necessary.
</t>
        </r>
      </text>
    </comment>
    <comment ref="I43" authorId="0" shapeId="0" xr:uid="{00000000-0006-0000-0E00-000003000000}">
      <text>
        <r>
          <rPr>
            <b/>
            <sz val="8"/>
            <color indexed="81"/>
            <rFont val="Tahoma"/>
            <family val="2"/>
          </rPr>
          <t xml:space="preserve">Total Transfers Out
</t>
        </r>
        <r>
          <rPr>
            <sz val="8"/>
            <color indexed="81"/>
            <rFont val="Tahoma"/>
            <family val="2"/>
          </rPr>
          <t>Total Transfers Out per this footnote must agree to the Transfers Out reported on the Fund Statement of Revenues, Expenditures and Changes in Fund Balance.  If not, an "error" message will appear.  Correct as necessary.</t>
        </r>
        <r>
          <rPr>
            <b/>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P. Madison</author>
    <author>Amy Warner</author>
  </authors>
  <commentList>
    <comment ref="B6" authorId="0" shapeId="0" xr:uid="{00000000-0006-0000-0F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r>
          <rPr>
            <sz val="8"/>
            <color indexed="81"/>
            <rFont val="Tahoma"/>
            <family val="2"/>
          </rPr>
          <t xml:space="preserve">.
</t>
        </r>
      </text>
    </comment>
    <comment ref="A23" authorId="1" shapeId="0" xr:uid="{00000000-0006-0000-0F00-000002000000}">
      <text>
        <r>
          <rPr>
            <b/>
            <sz val="10"/>
            <color indexed="81"/>
            <rFont val="Tahoma"/>
            <family val="2"/>
          </rPr>
          <t>Ending Fund Balance/Net Position per Prior Year Financial Statement Template</t>
        </r>
        <r>
          <rPr>
            <sz val="10"/>
            <color indexed="81"/>
            <rFont val="Tahoma"/>
            <family val="2"/>
          </rPr>
          <t xml:space="preserve">
This row is automatically populated with the prior year ending fund balance/ending net position for each column on the prior year template.  
If a current year beginning fund balance/beginning net position restatement exists for a specific column, complete the applicable cells below.</t>
        </r>
      </text>
    </comment>
    <comment ref="A36" authorId="1" shapeId="0" xr:uid="{00000000-0006-0000-0F00-000003000000}">
      <text>
        <r>
          <rPr>
            <b/>
            <sz val="10"/>
            <color indexed="81"/>
            <rFont val="Tahoma"/>
            <family val="2"/>
          </rPr>
          <t>Total Current Year Beginning Fund Balance/Beginning Net Position</t>
        </r>
        <r>
          <rPr>
            <sz val="10"/>
            <color indexed="81"/>
            <rFont val="Tahoma"/>
            <family val="2"/>
          </rPr>
          <t xml:space="preserve">
Beginning Fund Balance/Beginning Net Position on the Fund Balance Sheet/Gov't-wide Statement of Net Position is linked to the applicable column in this row.</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E6" authorId="0" shapeId="0" xr:uid="{00000000-0006-0000-1000-000001000000}">
      <text>
        <r>
          <rPr>
            <sz val="10"/>
            <color indexed="81"/>
            <rFont val="Times New Roman"/>
            <family val="1"/>
          </rPr>
          <t xml:space="preserve">If this submission is a </t>
        </r>
        <r>
          <rPr>
            <b/>
            <sz val="10"/>
            <color indexed="81"/>
            <rFont val="Times New Roman"/>
            <family val="1"/>
          </rPr>
          <t>revision</t>
        </r>
        <r>
          <rPr>
            <sz val="10"/>
            <color indexed="81"/>
            <rFont val="Times New Roman"/>
            <family val="1"/>
          </rPr>
          <t xml:space="preserve"> to a previous submission for which DOA acknowledged receipt and acceptance, </t>
        </r>
        <r>
          <rPr>
            <b/>
            <sz val="10"/>
            <color indexed="81"/>
            <rFont val="Times New Roman"/>
            <family val="1"/>
          </rPr>
          <t>COMPLETE THE REVISION CONTROL LOG TAB.</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P. Madison</author>
    <author>Mary Christine Tuck</author>
    <author>Sharon H. Lawrence</author>
  </authors>
  <commentList>
    <comment ref="B6" authorId="0" shapeId="0" xr:uid="{00000000-0006-0000-11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 receipt and acceptance, </t>
        </r>
        <r>
          <rPr>
            <b/>
            <sz val="8"/>
            <color indexed="81"/>
            <rFont val="Tahoma"/>
            <family val="2"/>
          </rPr>
          <t>COMPLETE THE REVISION CONTROL LOG TAB</t>
        </r>
        <r>
          <rPr>
            <sz val="8"/>
            <color indexed="81"/>
            <rFont val="Tahoma"/>
            <family val="2"/>
          </rPr>
          <t xml:space="preserve">.
</t>
        </r>
      </text>
    </comment>
    <comment ref="E16" authorId="1" shapeId="0" xr:uid="{00000000-0006-0000-1100-000002000000}">
      <text>
        <r>
          <rPr>
            <b/>
            <sz val="8"/>
            <color indexed="81"/>
            <rFont val="Arial"/>
            <family val="2"/>
          </rPr>
          <t>Balance June 30, Amounts:</t>
        </r>
        <r>
          <rPr>
            <sz val="8"/>
            <color indexed="81"/>
            <rFont val="Arial"/>
            <family val="2"/>
          </rPr>
          <t xml:space="preserve">
This total balance at June 30 must agree to the total 'Due Within One Year' and 'Due In More than One Year' long-term liabilities on the Government-wide Statement of Net Position template.  If not, an "ERROR" message will appear.  Correct as necessary.</t>
        </r>
      </text>
    </comment>
    <comment ref="F17" authorId="2" shapeId="0" xr:uid="{00000000-0006-0000-1100-000003000000}">
      <text>
        <r>
          <rPr>
            <b/>
            <sz val="8"/>
            <color indexed="81"/>
            <rFont val="Arial"/>
            <family val="2"/>
          </rPr>
          <t xml:space="preserve">Compensated Absences: </t>
        </r>
        <r>
          <rPr>
            <sz val="8"/>
            <color indexed="81"/>
            <rFont val="Arial"/>
            <family val="2"/>
          </rPr>
          <t xml:space="preserve"> Directions for computing required amounts are located in Attachment 6C, Leave Liability Statement Non-CIPPS, Non-TAL, and Hybrid Users.
</t>
        </r>
      </text>
    </comment>
    <comment ref="B64" authorId="1" shapeId="0" xr:uid="{00000000-0006-0000-1100-000004000000}">
      <text>
        <r>
          <rPr>
            <b/>
            <sz val="8"/>
            <color indexed="81"/>
            <rFont val="Arial"/>
            <family val="2"/>
          </rPr>
          <t>Total Bonds Payable Principal Amount:</t>
        </r>
        <r>
          <rPr>
            <sz val="8"/>
            <color indexed="81"/>
            <rFont val="Arial"/>
            <family val="2"/>
          </rPr>
          <t xml:space="preserve">
The total bonds payable principal amount must agree to the total 'Due Within One year' and ' Due In More than One Year' bonds payable amounts reported on the Government-wide Statement of Net Position
 template.  If not, an "ERROR" message will appear.  Correct as necessary.</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Gemma Yu-Meade</author>
    <author>Mary Christine Tuck</author>
  </authors>
  <commentList>
    <comment ref="G6" authorId="0" shapeId="0" xr:uid="{00000000-0006-0000-1200-000001000000}">
      <text>
        <r>
          <rPr>
            <sz val="8"/>
            <color indexed="81"/>
            <rFont val="Tahoma"/>
            <family val="2"/>
          </rPr>
          <t>If this submission is a revision to a previous submission for which DOA acknowledged receipt and acceptance, COMPLETE THE REVISION CONTROL LOG TAB.</t>
        </r>
      </text>
    </comment>
    <comment ref="M22" authorId="1" shapeId="0" xr:uid="{00000000-0006-0000-1200-000002000000}">
      <text>
        <r>
          <rPr>
            <b/>
            <sz val="8"/>
            <color indexed="81"/>
            <rFont val="Tahoma"/>
            <family val="2"/>
          </rPr>
          <t>Total Nondepreciable Capital Assets:</t>
        </r>
        <r>
          <rPr>
            <sz val="8"/>
            <color indexed="81"/>
            <rFont val="Tahoma"/>
            <family val="2"/>
          </rPr>
          <t xml:space="preserve">
Total Nondepreciable Capital Assets per the footnote must agree to the Total Nondepreciable Capital Assets reported on the Government-wide Statement of Net Position.  If not, an "ERROR" message will appear.  Correct as necessary.</t>
        </r>
      </text>
    </comment>
    <comment ref="M36" authorId="1" shapeId="0" xr:uid="{00000000-0006-0000-1200-000003000000}">
      <text>
        <r>
          <rPr>
            <b/>
            <sz val="8"/>
            <color indexed="81"/>
            <rFont val="Arial"/>
            <family val="2"/>
          </rPr>
          <t>Total Depreciable Capital Assets, Net:</t>
        </r>
        <r>
          <rPr>
            <sz val="8"/>
            <color indexed="81"/>
            <rFont val="Arial"/>
            <family val="2"/>
          </rPr>
          <t xml:space="preserve">
Total Depreciable Capital Assets, Net per the footnote must agree to the Total Depreciable Capital Assets, Net reported on the Government-wide Statement of Net Position.  If not, an "ERROR" message will appear.  Correct as necessary.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<sst xmlns="http://schemas.openxmlformats.org/spreadsheetml/2006/main" count="4817" uniqueCount="3607">
  <si>
    <t>2)  Estimated pollution remediation liability</t>
  </si>
  <si>
    <t>Participating interest-earning investment contracts with a remaining maturity at the time of purchase of one year or less</t>
  </si>
  <si>
    <t>1d)</t>
  </si>
  <si>
    <t>1e)</t>
  </si>
  <si>
    <t>1f)</t>
  </si>
  <si>
    <t>1g)</t>
  </si>
  <si>
    <t>All other investments</t>
  </si>
  <si>
    <t>Fair Value</t>
  </si>
  <si>
    <t xml:space="preserve">at fair value rather than amortized cost. </t>
  </si>
  <si>
    <t>Agency Mortgage Backed Securities</t>
  </si>
  <si>
    <t>VIRGINIA CORRECTIONAL ENTERPRISES</t>
  </si>
  <si>
    <t>DEPARTMENT OF SOCIAL SERVICES</t>
  </si>
  <si>
    <t>DEPARTMENT OF JUVENILE JUSTICE</t>
  </si>
  <si>
    <t>CAPITOL SQUARE PRESERVATION COUNCIL</t>
  </si>
  <si>
    <t>VIRGINIA COMMISSION ON YOUTH</t>
  </si>
  <si>
    <t>DEPARTMENT OF AVIATION</t>
  </si>
  <si>
    <t>CHESAPEAKE BAY COMMISSION</t>
  </si>
  <si>
    <t>JOINT COMMISSION ON HEALTH CARE</t>
  </si>
  <si>
    <t>INTERSTATE ORGANIZATION CONTRIBUTIONS</t>
  </si>
  <si>
    <t>VIRGINIA MUSEUM OF NATURAL HISTORY</t>
  </si>
  <si>
    <t>DEPARTMENT OF FIRE PROGRAMS</t>
  </si>
  <si>
    <t>DIVISION OF CAPITOL POLICE</t>
  </si>
  <si>
    <t>STATE WATER COMMISSION</t>
  </si>
  <si>
    <t>Revision Date</t>
  </si>
  <si>
    <t>Tab Name</t>
  </si>
  <si>
    <t>Row Number</t>
  </si>
  <si>
    <t>Column Letter</t>
  </si>
  <si>
    <t>Previous Information</t>
  </si>
  <si>
    <t>Revised Information</t>
  </si>
  <si>
    <t>REVENUES:</t>
  </si>
  <si>
    <t>EXPENDITURES:</t>
  </si>
  <si>
    <t>PROGRAM REVENUES:</t>
  </si>
  <si>
    <t>GENERAL REVENUES:</t>
  </si>
  <si>
    <t xml:space="preserve">Part 1)  </t>
  </si>
  <si>
    <t xml:space="preserve">Part 2)  </t>
  </si>
  <si>
    <t>Cash not held by the Treasurer of Virginia:</t>
  </si>
  <si>
    <t>a)  Reported amount</t>
  </si>
  <si>
    <t xml:space="preserve">Part 3)  </t>
  </si>
  <si>
    <t>9h</t>
  </si>
  <si>
    <t>1)  Nature and source of pollution remediation obligations</t>
  </si>
  <si>
    <t>4)  Estimated net pollution remediation liability $ - recognized amount (2 less 3)</t>
  </si>
  <si>
    <t>9b</t>
  </si>
  <si>
    <t>9c</t>
  </si>
  <si>
    <t>9e</t>
  </si>
  <si>
    <t>9f</t>
  </si>
  <si>
    <t>9g</t>
  </si>
  <si>
    <t>Amount</t>
  </si>
  <si>
    <t>N/A</t>
  </si>
  <si>
    <t>Tab 2:  Receivables</t>
  </si>
  <si>
    <t>Type of Investment</t>
  </si>
  <si>
    <t>Nonparticipating contracts</t>
  </si>
  <si>
    <t>Amortized Cost</t>
  </si>
  <si>
    <t>Tab 2</t>
  </si>
  <si>
    <t>Tab 1A, Part 1</t>
  </si>
  <si>
    <t>Tab 3</t>
  </si>
  <si>
    <t>Tab 4</t>
  </si>
  <si>
    <t>Revised Cash Basis</t>
  </si>
  <si>
    <t>DOA Adjustments
Cash Basis</t>
  </si>
  <si>
    <t>DOA Adjustments
Modified Accrual</t>
  </si>
  <si>
    <t>Virginia Real Estate Transaction Recovery Fund - Special Revenue</t>
  </si>
  <si>
    <t>Revised Modified Accrual</t>
  </si>
  <si>
    <t>Bonds Issued</t>
  </si>
  <si>
    <t>Refunding Bonds Issued</t>
  </si>
  <si>
    <t>Payment to Refunded Bond Escrow Agents</t>
  </si>
  <si>
    <t xml:space="preserve">Due to Other Funds </t>
  </si>
  <si>
    <t xml:space="preserve">Due to Other State Agencies </t>
  </si>
  <si>
    <t xml:space="preserve">Due from Other Funds </t>
  </si>
  <si>
    <t xml:space="preserve">Due from Other State Agencies </t>
  </si>
  <si>
    <t>Transfers In</t>
  </si>
  <si>
    <t xml:space="preserve">Transfers Out </t>
  </si>
  <si>
    <t>Total Transfers In</t>
  </si>
  <si>
    <t>Transfers Out</t>
  </si>
  <si>
    <t>Due From Other Funds</t>
  </si>
  <si>
    <t>Due to Other Funds</t>
  </si>
  <si>
    <t>Due From Other State Agencies</t>
  </si>
  <si>
    <t>Due to Other State Agencies</t>
  </si>
  <si>
    <t>Fund Name Amount is Due From</t>
  </si>
  <si>
    <t>Total Due From Other Funds</t>
  </si>
  <si>
    <t>Fund Name Amount is Due To</t>
  </si>
  <si>
    <t>Total Due to Other Funds</t>
  </si>
  <si>
    <t>Total Due From Other State Agencies</t>
  </si>
  <si>
    <t>Total Due To Other State Agencies</t>
  </si>
  <si>
    <t>REV. OVER (UNDER) EXPEND.</t>
  </si>
  <si>
    <t>% Variance</t>
  </si>
  <si>
    <t>Notes</t>
  </si>
  <si>
    <t>Template 
Modified Accrual Basis</t>
  </si>
  <si>
    <t>Prior Year
Modified Accrual Basis</t>
  </si>
  <si>
    <t>Less: Deferral on Debt Defeasance</t>
  </si>
  <si>
    <t>Add: Accretion on Capital Appreciation Bonds</t>
  </si>
  <si>
    <t>Add: Unamortized Premium</t>
  </si>
  <si>
    <t>Accounts  Receivable</t>
  </si>
  <si>
    <t>Accounts Receivable</t>
  </si>
  <si>
    <t xml:space="preserve">Special Items </t>
  </si>
  <si>
    <t xml:space="preserve">Extraordinary Items </t>
  </si>
  <si>
    <t>Revised Government-wide</t>
  </si>
  <si>
    <t>DOA Adjustments</t>
  </si>
  <si>
    <t>Fund Financial Stmt Template</t>
  </si>
  <si>
    <t>Govwide Fin. Stmt Template</t>
  </si>
  <si>
    <t>Tab 1D-GASB 31</t>
  </si>
  <si>
    <t>Tab 2-Receivables</t>
  </si>
  <si>
    <t>Tab 3-Due to &amp; From</t>
  </si>
  <si>
    <t>Tab 4-Miscellaneous</t>
  </si>
  <si>
    <t>Asset-Backed Securities</t>
  </si>
  <si>
    <t>Mutual and Money-Market Funds</t>
  </si>
  <si>
    <t>Reference to Tabs that must be completed</t>
  </si>
  <si>
    <t>Tab 4: Miscellaneous</t>
  </si>
  <si>
    <t xml:space="preserve">Yes </t>
  </si>
  <si>
    <t>State Parks Projects Fund - Special Revenue</t>
  </si>
  <si>
    <t xml:space="preserve"> $ Variance</t>
  </si>
  <si>
    <t>Contractor's Transaction Recovery Act Fund - Special Revenue</t>
  </si>
  <si>
    <t>Tab 9:  Schedule of Changes in Capital Assets</t>
  </si>
  <si>
    <t>Virginia Public Building Authority - Capital Projects</t>
  </si>
  <si>
    <t>Agency Name</t>
  </si>
  <si>
    <t>VIRGINIA INFORMATION TECHNOLOGIES AGENCY</t>
  </si>
  <si>
    <t>DEPARTMENT OF VETERANS SERVICES</t>
  </si>
  <si>
    <t>Amount 
(Enter as negative)</t>
  </si>
  <si>
    <t>Recorded on another F/S Template?</t>
  </si>
  <si>
    <t>If on F/S Template, 
Specify Template</t>
  </si>
  <si>
    <t>Not Known</t>
  </si>
  <si>
    <t>Unknown</t>
  </si>
  <si>
    <t>Chippokes Plantation Farm Foundation - Special Revenue</t>
  </si>
  <si>
    <t>Modified Total</t>
  </si>
  <si>
    <t>DOA Adjustments that alter PY EFB</t>
  </si>
  <si>
    <t>no</t>
  </si>
  <si>
    <t>DEPARTMENT OF ACCOUNTS TRANSFER PAYMENTS</t>
  </si>
  <si>
    <t>SECRETARY OF AGRICULTURE AND FORESTRY</t>
  </si>
  <si>
    <t>INDIGENT DEFENSE COMMISSION</t>
  </si>
  <si>
    <t>Janice Rankin</t>
  </si>
  <si>
    <t>VIRGINIA HOUSING COMMISSION</t>
  </si>
  <si>
    <t>Government-wide Other Entries</t>
  </si>
  <si>
    <t>Gov't-wide Total</t>
  </si>
  <si>
    <t>Modified Accrual Adjusting Entries</t>
  </si>
  <si>
    <t>Other 
Gov't-wide Adjusting Entries</t>
  </si>
  <si>
    <t>Cash Equivalents with the Treasurer (including SNAP)</t>
  </si>
  <si>
    <t>Total Transfers Out</t>
  </si>
  <si>
    <t xml:space="preserve">       </t>
  </si>
  <si>
    <t>Total:</t>
  </si>
  <si>
    <t xml:space="preserve">     </t>
  </si>
  <si>
    <t>and investments not covered elsewhere on this attachment.</t>
  </si>
  <si>
    <t>U. S. Treasury and Agency Securities</t>
  </si>
  <si>
    <t>Commercial Paper</t>
  </si>
  <si>
    <t>Banker's Acceptance</t>
  </si>
  <si>
    <t>Negotiable Certificates of Deposit</t>
  </si>
  <si>
    <t>Reverse Repurchase Agreements</t>
  </si>
  <si>
    <t>Repurchase Agreements</t>
  </si>
  <si>
    <t>Municipal Securities</t>
  </si>
  <si>
    <t>Asset Backed Securities</t>
  </si>
  <si>
    <t>Agency Mortgage Backed</t>
  </si>
  <si>
    <t>Mutual and Money Market Funds (Include SNAP)</t>
  </si>
  <si>
    <t>Mutual and Money Market Funds</t>
  </si>
  <si>
    <t>Guaranteed Investment Contracts</t>
  </si>
  <si>
    <t>Fixed Income and Commingled Funds</t>
  </si>
  <si>
    <t>Deposits with the U.S. Treasury for Unemployment Compensation</t>
  </si>
  <si>
    <t>Common and Preferred Stocks</t>
  </si>
  <si>
    <t>Foreign Currencies</t>
  </si>
  <si>
    <t>Equity Index and Pooled Funds</t>
  </si>
  <si>
    <t>Real Estate</t>
  </si>
  <si>
    <t>Deposits</t>
  </si>
  <si>
    <t>Total Fair Value of Foreign Currency</t>
  </si>
  <si>
    <t xml:space="preserve">Australian Dollar </t>
  </si>
  <si>
    <t xml:space="preserve">Canadian Dollar </t>
  </si>
  <si>
    <t xml:space="preserve">Colombian Peso </t>
  </si>
  <si>
    <t xml:space="preserve">Czech Koruna </t>
  </si>
  <si>
    <t xml:space="preserve">Danish Krone </t>
  </si>
  <si>
    <t xml:space="preserve">Egyptian Pound </t>
  </si>
  <si>
    <t xml:space="preserve">Euro Currency Unit </t>
  </si>
  <si>
    <t xml:space="preserve">Hong Kong Dollar </t>
  </si>
  <si>
    <t xml:space="preserve">Hungarian Forint </t>
  </si>
  <si>
    <t xml:space="preserve">Indian Rupee </t>
  </si>
  <si>
    <t xml:space="preserve">Israeli Shekel </t>
  </si>
  <si>
    <t xml:space="preserve">Japanese Yen </t>
  </si>
  <si>
    <t xml:space="preserve">Malaysian Ringgit </t>
  </si>
  <si>
    <t xml:space="preserve">New Taiwan Dollar </t>
  </si>
  <si>
    <t xml:space="preserve">New Zealand Dollar </t>
  </si>
  <si>
    <t xml:space="preserve">Norwegian Krone </t>
  </si>
  <si>
    <t xml:space="preserve">Philippines Peso </t>
  </si>
  <si>
    <t xml:space="preserve">Polish Zloty </t>
  </si>
  <si>
    <t xml:space="preserve">Singapore Dollar </t>
  </si>
  <si>
    <t xml:space="preserve">South Korean Won </t>
  </si>
  <si>
    <t xml:space="preserve">Sri Lanka Rupee </t>
  </si>
  <si>
    <t xml:space="preserve">Swedish Krona </t>
  </si>
  <si>
    <t xml:space="preserve">Swiss Franc </t>
  </si>
  <si>
    <t xml:space="preserve">Thailand Baht </t>
  </si>
  <si>
    <t xml:space="preserve">Turkish Lira </t>
  </si>
  <si>
    <t>Other (Please list)</t>
  </si>
  <si>
    <t>Tab 1A-GASB 3-40</t>
  </si>
  <si>
    <t>Tab 1B-CE &amp; Inv Not W Treas.</t>
  </si>
  <si>
    <t>Tab 1C-Foreign Currency Inv</t>
  </si>
  <si>
    <t xml:space="preserve">Part 4)  </t>
  </si>
  <si>
    <t>Part 5)</t>
  </si>
  <si>
    <t>Part 6)</t>
  </si>
  <si>
    <t>Part 7)</t>
  </si>
  <si>
    <t>Part 8)</t>
  </si>
  <si>
    <t>Part 9)</t>
  </si>
  <si>
    <t xml:space="preserve">   Less:  Deferral on Debt Defeasance - Due Within One Year</t>
  </si>
  <si>
    <t xml:space="preserve">   Less:  Unamortized Discount - Due Within One Year</t>
  </si>
  <si>
    <t xml:space="preserve">   Plus:  Unamortized Premium - Due Within One Year</t>
  </si>
  <si>
    <t xml:space="preserve">   Less:  Deferral on Debt Defeasance - Due in More Than One Year</t>
  </si>
  <si>
    <t xml:space="preserve">   Less:  Unamortized Discount - Due in More Than One Year</t>
  </si>
  <si>
    <t xml:space="preserve">   Plus:  Unamortized Premium - Due in More Than One Year</t>
  </si>
  <si>
    <t>Bonds Payable (Principal) - Due Within One Year</t>
  </si>
  <si>
    <t>Bonds Payable - Due In More Than One Year</t>
  </si>
  <si>
    <t xml:space="preserve">Does this fund have any nonexchange transactions that are not recognizable because they are not measurable?   </t>
  </si>
  <si>
    <t>Part 10)</t>
  </si>
  <si>
    <t>Bank Balance Amount</t>
  </si>
  <si>
    <t>Premium on Bond Issuance</t>
  </si>
  <si>
    <t>Agency Contact e-mail Address:</t>
  </si>
  <si>
    <t>Premium on Refunding Bond Issuance</t>
  </si>
  <si>
    <t>Net Bonds Payable - Due Within One Year</t>
  </si>
  <si>
    <t>Interest and Charges on Long-term Debt:</t>
  </si>
  <si>
    <t xml:space="preserve">   Interest and Charges on Long-term Debt - Reclassify Issuance Costs</t>
  </si>
  <si>
    <t xml:space="preserve">   Interest and Charges on Long-term Debt - Amortization of Deferral on Debt defeasance</t>
  </si>
  <si>
    <t xml:space="preserve">   Interest and Charges on Long-term Debt - Amortization of Unamortized Discount</t>
  </si>
  <si>
    <t xml:space="preserve">   Interest and Charges on Long-term Debt - Amortization of Unamortized Premium</t>
  </si>
  <si>
    <t xml:space="preserve">   Interest and Charges on Long-term Debt - Other</t>
  </si>
  <si>
    <t xml:space="preserve">     Total - Interest and Charges on Long-term Debt</t>
  </si>
  <si>
    <t>Accounts Payable - Vendor</t>
  </si>
  <si>
    <t>Accounts Payable - Retainage</t>
  </si>
  <si>
    <t>Accounts Payable - Other</t>
  </si>
  <si>
    <t>Tab 6</t>
  </si>
  <si>
    <t>Capital Acquisition</t>
  </si>
  <si>
    <t>Expendable</t>
  </si>
  <si>
    <t xml:space="preserve">b)  Bank balance as of June 30  </t>
  </si>
  <si>
    <t>List the fair value of those investments reported as cash equivalents and investments NOT with the Treasurer of Virginia that</t>
  </si>
  <si>
    <t>X</t>
  </si>
  <si>
    <t>Agency Contact:</t>
  </si>
  <si>
    <t>are subject to foreign exchange risk.  This amount must agree to the total amount in Tab 1C-Foreign Currency Inv.</t>
  </si>
  <si>
    <t xml:space="preserve">Tab 1D </t>
  </si>
  <si>
    <t>Tab 1A, Part 2, Part 3</t>
  </si>
  <si>
    <t>DEPARTMENT OF FORENSIC SCIENCE</t>
  </si>
  <si>
    <t>Total Accounts Payable</t>
  </si>
  <si>
    <t>Are any of the agency's cash equivalents or investments in debt securities not with the Treasurer of VA</t>
  </si>
  <si>
    <t>Unearned Revenue</t>
  </si>
  <si>
    <t>Inventory</t>
  </si>
  <si>
    <t>Other Disclosures:  Contingent Liabilities</t>
  </si>
  <si>
    <t>Are there any contingent liabilities that should be disclosed?</t>
  </si>
  <si>
    <t>Other Disclosures:  Subsequent Events</t>
  </si>
  <si>
    <t>Other Long-term Liabilities</t>
  </si>
  <si>
    <t xml:space="preserve"> $ Amount</t>
  </si>
  <si>
    <t>Extraordinary Items</t>
  </si>
  <si>
    <t>Program Revenue Line Items:</t>
  </si>
  <si>
    <r>
      <t>GASBS No. 33</t>
    </r>
    <r>
      <rPr>
        <sz val="10"/>
        <rFont val="Times New Roman"/>
        <family val="1"/>
      </rPr>
      <t xml:space="preserve">, </t>
    </r>
    <r>
      <rPr>
        <i/>
        <sz val="10"/>
        <rFont val="Times New Roman"/>
        <family val="1"/>
      </rPr>
      <t>Accounting and Financial Reporting for Nonexchange Transactions</t>
    </r>
  </si>
  <si>
    <r>
      <t>GASBS No. 38</t>
    </r>
    <r>
      <rPr>
        <sz val="10"/>
        <rFont val="Times New Roman"/>
        <family val="1"/>
      </rPr>
      <t xml:space="preserve">, </t>
    </r>
    <r>
      <rPr>
        <i/>
        <sz val="10"/>
        <rFont val="Times New Roman"/>
        <family val="1"/>
      </rPr>
      <t>Certain Financial Statement Note Disclosures</t>
    </r>
  </si>
  <si>
    <r>
      <t>GASBS No. 38</t>
    </r>
    <r>
      <rPr>
        <b/>
        <sz val="10"/>
        <rFont val="Times New Roman"/>
        <family val="1"/>
      </rPr>
      <t>,</t>
    </r>
    <r>
      <rPr>
        <sz val="10"/>
        <rFont val="Times New Roman"/>
        <family val="1"/>
      </rPr>
      <t xml:space="preserve"> </t>
    </r>
    <r>
      <rPr>
        <i/>
        <sz val="10"/>
        <rFont val="Times New Roman"/>
        <family val="1"/>
      </rPr>
      <t>Certain Financial Statement Note Disclosures,</t>
    </r>
    <r>
      <rPr>
        <sz val="10"/>
        <rFont val="Times New Roman"/>
        <family val="1"/>
      </rPr>
      <t xml:space="preserve"> requires disclosure of any significant violations of finance-related legal or contractual provisions.  Does this fund have any significant violations of finance-related legal or contractual provisions that need to be disclosed?</t>
    </r>
  </si>
  <si>
    <r>
      <t>GASBS No. 42</t>
    </r>
    <r>
      <rPr>
        <sz val="10"/>
        <rFont val="Times New Roman"/>
        <family val="1"/>
      </rPr>
      <t>,</t>
    </r>
    <r>
      <rPr>
        <i/>
        <sz val="10"/>
        <rFont val="Times New Roman"/>
        <family val="1"/>
      </rPr>
      <t xml:space="preserve"> Accounting and Financial Reporting for Impairment of Capital Assets and for Insurance Recoveries</t>
    </r>
  </si>
  <si>
    <r>
      <t xml:space="preserve">If </t>
    </r>
    <r>
      <rPr>
        <b/>
        <sz val="10"/>
        <rFont val="Times New Roman"/>
        <family val="1"/>
      </rPr>
      <t>yes</t>
    </r>
    <r>
      <rPr>
        <sz val="10"/>
        <rFont val="Times New Roman"/>
        <family val="1"/>
      </rPr>
      <t>, provide a description.</t>
    </r>
  </si>
  <si>
    <r>
      <t xml:space="preserve">Governmental Fund </t>
    </r>
    <r>
      <rPr>
        <b/>
        <sz val="10"/>
        <rFont val="Times New Roman"/>
        <family val="1"/>
      </rPr>
      <t>Modified</t>
    </r>
    <r>
      <rPr>
        <sz val="10"/>
        <rFont val="Times New Roman"/>
        <family val="1"/>
      </rPr>
      <t xml:space="preserve"> Accrual Statement line items:</t>
    </r>
  </si>
  <si>
    <r>
      <t xml:space="preserve">Government-wide </t>
    </r>
    <r>
      <rPr>
        <b/>
        <sz val="10"/>
        <rFont val="Times New Roman"/>
        <family val="1"/>
      </rPr>
      <t>Full</t>
    </r>
    <r>
      <rPr>
        <sz val="10"/>
        <rFont val="Times New Roman"/>
        <family val="1"/>
      </rPr>
      <t xml:space="preserve"> Accrual Statement Line Items:</t>
    </r>
  </si>
  <si>
    <t>Nonspendable for Prepaids</t>
  </si>
  <si>
    <r>
      <t>Note A</t>
    </r>
    <r>
      <rPr>
        <b/>
        <sz val="10"/>
        <rFont val="Times New Roman"/>
        <family val="1"/>
      </rPr>
      <t xml:space="preserve">: </t>
    </r>
    <r>
      <rPr>
        <sz val="10"/>
        <rFont val="Times New Roman"/>
        <family val="1"/>
      </rPr>
      <t xml:space="preserve"> In the prior year, no capital assets were reported on this attachment.  For the current year, if this fund has capital assets, DOA may request additional information to properly report amounts in accordance with </t>
    </r>
    <r>
      <rPr>
        <b/>
        <u/>
        <sz val="10"/>
        <rFont val="Times New Roman"/>
        <family val="1"/>
      </rPr>
      <t>GASBS No. 42</t>
    </r>
    <r>
      <rPr>
        <b/>
        <sz val="10"/>
        <rFont val="Times New Roman"/>
        <family val="1"/>
      </rPr>
      <t>.</t>
    </r>
  </si>
  <si>
    <r>
      <t>GASBS No. 47</t>
    </r>
    <r>
      <rPr>
        <sz val="10"/>
        <rFont val="Times New Roman"/>
        <family val="1"/>
      </rPr>
      <t xml:space="preserve">, </t>
    </r>
    <r>
      <rPr>
        <i/>
        <sz val="10"/>
        <rFont val="Times New Roman"/>
        <family val="1"/>
      </rPr>
      <t>Accounting for Termination Benefits</t>
    </r>
  </si>
  <si>
    <r>
      <t xml:space="preserve">If </t>
    </r>
    <r>
      <rPr>
        <b/>
        <sz val="10"/>
        <rFont val="Times New Roman"/>
        <family val="1"/>
      </rPr>
      <t>yes</t>
    </r>
    <r>
      <rPr>
        <sz val="10"/>
        <rFont val="Times New Roman"/>
        <family val="1"/>
      </rPr>
      <t xml:space="preserve">, explain below.
If </t>
    </r>
    <r>
      <rPr>
        <b/>
        <sz val="10"/>
        <rFont val="Times New Roman"/>
        <family val="1"/>
      </rPr>
      <t>no</t>
    </r>
    <r>
      <rPr>
        <sz val="10"/>
        <rFont val="Times New Roman"/>
        <family val="1"/>
      </rPr>
      <t>, leave the yellow boxes blank.</t>
    </r>
  </si>
  <si>
    <t>Fund Balance Reconciliation</t>
  </si>
  <si>
    <r>
      <t xml:space="preserve">*Per </t>
    </r>
    <r>
      <rPr>
        <b/>
        <u/>
        <sz val="10"/>
        <rFont val="Times New Roman"/>
        <family val="1"/>
      </rPr>
      <t>GASBS No. 49</t>
    </r>
    <r>
      <rPr>
        <sz val="10"/>
        <rFont val="Times New Roman"/>
        <family val="1"/>
      </rPr>
      <t xml:space="preserve">, paragraph 11, an obligating event is when any of the following events occurs (refer to </t>
    </r>
    <r>
      <rPr>
        <b/>
        <u/>
        <sz val="10"/>
        <rFont val="Times New Roman"/>
        <family val="1"/>
      </rPr>
      <t>GASBS No. 49</t>
    </r>
    <r>
      <rPr>
        <sz val="10"/>
        <rFont val="Times New Roman"/>
        <family val="1"/>
      </rPr>
      <t xml:space="preserve"> for guidance):  </t>
    </r>
  </si>
  <si>
    <t>Virginia Winery Distribution Company - Special Revenue</t>
  </si>
  <si>
    <t xml:space="preserve">b)  Provide the amount in 2.2 above that is collateralized in accordance with the Security for Public Deposits Act (Section 2.2-4400 of the </t>
  </si>
  <si>
    <t>Nonspendable</t>
  </si>
  <si>
    <t>Restricted</t>
  </si>
  <si>
    <t>Total Fund Balances</t>
  </si>
  <si>
    <t>Assigned</t>
  </si>
  <si>
    <t xml:space="preserve">Fund Balance Reconciliation </t>
  </si>
  <si>
    <t>Restricted for Grants &amp; Donations</t>
  </si>
  <si>
    <t>Restricted for Capital Acquisitions</t>
  </si>
  <si>
    <t>Committed</t>
  </si>
  <si>
    <t xml:space="preserve">Assigned </t>
  </si>
  <si>
    <t>Unassigned</t>
  </si>
  <si>
    <t>Was donated inventory received during the fiscal year?</t>
  </si>
  <si>
    <t>Gunston Hall Regents Fund - Special Revenue</t>
  </si>
  <si>
    <t>Gunston Hall Foundation - Special Revenue</t>
  </si>
  <si>
    <r>
      <t>GASBS No. 40</t>
    </r>
    <r>
      <rPr>
        <sz val="10"/>
        <rFont val="Times New Roman"/>
        <family val="1"/>
      </rPr>
      <t xml:space="preserve"> states it is the agency’s responsibility “to update the custodial credit risk disclosure requirements addressing other common risks of the deposits </t>
    </r>
  </si>
  <si>
    <t>102C</t>
  </si>
  <si>
    <t>Tab 6:  Restatements</t>
  </si>
  <si>
    <t xml:space="preserve">Tab 7: Fluctuation Analysis - Balance Sheet </t>
  </si>
  <si>
    <t>Tab 8:  Long-term Liabilities</t>
  </si>
  <si>
    <t>Tab 5</t>
  </si>
  <si>
    <t>check</t>
  </si>
  <si>
    <t xml:space="preserve">      Government-wide Full Accrual Entries</t>
  </si>
  <si>
    <t>Cash Equivalents with the Treasurer - LGIP</t>
  </si>
  <si>
    <t>Tab 1A, Part 4 for LGIP</t>
  </si>
  <si>
    <t>Tab 1A, Part 5 for SNAP</t>
  </si>
  <si>
    <t>Comments for the Special Revenue Fund</t>
  </si>
  <si>
    <t>Accounts Payable - Salary / Wage</t>
  </si>
  <si>
    <t>Description</t>
  </si>
  <si>
    <t xml:space="preserve">Other Long-term Liabilities - Due Within One Year </t>
  </si>
  <si>
    <t>Insurance Recoveries</t>
  </si>
  <si>
    <t>Sale of Capital Assets</t>
  </si>
  <si>
    <t>Other Receivables, Net - Description:</t>
  </si>
  <si>
    <t>Other Assets - Description:</t>
  </si>
  <si>
    <t>Accounts Payable - Other - Description:</t>
  </si>
  <si>
    <t>Other Long-term Liabilities - Due Within One Year - Description:</t>
  </si>
  <si>
    <t>Other - Description:</t>
  </si>
  <si>
    <t>Other Liabilities - Description:</t>
  </si>
  <si>
    <t>Special Items - Description:</t>
  </si>
  <si>
    <t>Extraordinary Items - Description:</t>
  </si>
  <si>
    <t>Due to Other State Agencies - Description:</t>
  </si>
  <si>
    <t>Net Bonds Payable - Due In More Than One Year</t>
  </si>
  <si>
    <t>OTHER FINANCING SOURCES &amp; USES:</t>
  </si>
  <si>
    <t xml:space="preserve">Accounts Receivable, Net </t>
  </si>
  <si>
    <t>Other Liabilities - Due in More Than One Year - Total</t>
  </si>
  <si>
    <t>General description of inventory 
  on hand</t>
  </si>
  <si>
    <t>DEPARTMENT OF MOTOR VEHICLES TRANSFER PAYMENTS</t>
  </si>
  <si>
    <t>Louis B. Eacho</t>
  </si>
  <si>
    <t>Grants and Donations</t>
  </si>
  <si>
    <t>Deposits Pending Distribution - Due in More Than One Year</t>
  </si>
  <si>
    <t>Other Liabilities - Due in More Than One Year - Description:</t>
  </si>
  <si>
    <t>Other Long-term Liabilities - Due Within One Year - Desc:</t>
  </si>
  <si>
    <t>Please describe Other Receivables:</t>
  </si>
  <si>
    <t>Interest Receivable</t>
  </si>
  <si>
    <t>CHECK FIGURES</t>
  </si>
  <si>
    <t>CHECK FIGURE</t>
  </si>
  <si>
    <r>
      <t>Allowance for Doubtful Accounts</t>
    </r>
    <r>
      <rPr>
        <sz val="8"/>
        <rFont val="Times New Roman"/>
        <family val="1"/>
      </rPr>
      <t xml:space="preserve"> 
(Enter as a negative):</t>
    </r>
  </si>
  <si>
    <t>Does the governmental fund report prepaid items on the financial statement template?</t>
  </si>
  <si>
    <t>Financial Statement Template Revisions</t>
  </si>
  <si>
    <t>Prepared by:</t>
  </si>
  <si>
    <t>Date:</t>
  </si>
  <si>
    <t>Name</t>
  </si>
  <si>
    <t>Title</t>
  </si>
  <si>
    <t>Reviewed by:</t>
  </si>
  <si>
    <t>Amortized Cost - provided that fair value is not significantly affected by the impairment of the credit standing of the issuer or by other factors</t>
  </si>
  <si>
    <t>Behavioral Health Local Funds - Special Revenue</t>
  </si>
  <si>
    <t>Behavioral Health Local Funds - Permanent</t>
  </si>
  <si>
    <t>List all SNAP accounts reported on this template.</t>
  </si>
  <si>
    <t>Part 11)</t>
  </si>
  <si>
    <t xml:space="preserve">and investments of state and local governments.”  With this in mind, please provide a description of any other type of risk to cash, cash equivalents, </t>
  </si>
  <si>
    <t>Prior Year's Ending Balance (linked)</t>
  </si>
  <si>
    <t>Differences (provide explanations)</t>
  </si>
  <si>
    <t>For differences above, please provide explanations for the restatements.</t>
  </si>
  <si>
    <t>Part 1 a) Schedule of Changes in Long-term Liabilities:</t>
  </si>
  <si>
    <t>Part 1 b)  Comparison of Beginning Balances to Prior Year's Ending Balances</t>
  </si>
  <si>
    <t>W/P Ref for cash basis</t>
  </si>
  <si>
    <t>Modified Accrual Entries</t>
  </si>
  <si>
    <t>Other Long-term Liabilities - Due Within One Year (incl. descr.)</t>
  </si>
  <si>
    <t>Special Items (include description)</t>
  </si>
  <si>
    <t>Extraordinary Items (include description)</t>
  </si>
  <si>
    <t>Other Financing Sources - Insurance Recoveries</t>
  </si>
  <si>
    <t>SNAP not with the Treasurer</t>
  </si>
  <si>
    <t>Other Debt Securities</t>
  </si>
  <si>
    <t xml:space="preserve">            i)    Uncollateralized</t>
  </si>
  <si>
    <t xml:space="preserve">            ii)   Collateralized with securities held by the pledging financial institution</t>
  </si>
  <si>
    <t xml:space="preserve">            iii)  Collateralized with securities held by the pledging financial institution's trust department or agent but not in the</t>
  </si>
  <si>
    <t>Is the method and cost used to determine value consistent with that used in the previous fiscal year?</t>
  </si>
  <si>
    <t>9i</t>
  </si>
  <si>
    <t>Other Equity Securities</t>
  </si>
  <si>
    <t>DEBT</t>
  </si>
  <si>
    <t>EQUITY</t>
  </si>
  <si>
    <t>Advances (nonexchange transactions)</t>
  </si>
  <si>
    <t>Cash Not with the Treasurer</t>
  </si>
  <si>
    <t>Inventories</t>
  </si>
  <si>
    <t>Prepaid Items</t>
  </si>
  <si>
    <t>Unamortized Bond Issuance Expense</t>
  </si>
  <si>
    <t>TOTAL ASSETS</t>
  </si>
  <si>
    <t>LIABILITIES</t>
  </si>
  <si>
    <t>Amounts Due to Other Governments</t>
  </si>
  <si>
    <t>Deferred Revenue</t>
  </si>
  <si>
    <t>Compensated Absences</t>
  </si>
  <si>
    <t>Other Liabilities</t>
  </si>
  <si>
    <t>Deposits Pending Distribution</t>
  </si>
  <si>
    <t>TOTAL LIABILITIES</t>
  </si>
  <si>
    <t>Other</t>
  </si>
  <si>
    <t>Other Revenues</t>
  </si>
  <si>
    <t>Cash Equivalents not with the Treasurer</t>
  </si>
  <si>
    <t>Investments not with the Treasurer</t>
  </si>
  <si>
    <t>Agency Name:</t>
  </si>
  <si>
    <t>ASSETS</t>
  </si>
  <si>
    <t>Cash and Cash Equivalents - Total</t>
  </si>
  <si>
    <t>Receivables, Net - Total</t>
  </si>
  <si>
    <t>Investments - Total</t>
  </si>
  <si>
    <t>Other Liabilities - Total</t>
  </si>
  <si>
    <t>Other Assets Total</t>
  </si>
  <si>
    <t>Balance</t>
  </si>
  <si>
    <t>Increases</t>
  </si>
  <si>
    <t>Decreases</t>
  </si>
  <si>
    <t>Nondepreciable Capital Assets:</t>
  </si>
  <si>
    <t>Land</t>
  </si>
  <si>
    <t>$</t>
  </si>
  <si>
    <t>Construction in Progress</t>
  </si>
  <si>
    <t xml:space="preserve">    Total Nondepreciable Capital Assets</t>
  </si>
  <si>
    <t>Depreciable Capital Assets:</t>
  </si>
  <si>
    <t>Buildings</t>
  </si>
  <si>
    <t>Equipment</t>
  </si>
  <si>
    <t>Infrastructure</t>
  </si>
  <si>
    <t xml:space="preserve">   Total Capital Assets being Depreciated</t>
  </si>
  <si>
    <t>Less Accumulated Depreciation for:</t>
  </si>
  <si>
    <t xml:space="preserve">    Buildings</t>
  </si>
  <si>
    <t xml:space="preserve">    Equipment</t>
  </si>
  <si>
    <t xml:space="preserve"> d)  Provide an explanation if the amount reported in Part 3a) is greater than $250,000.</t>
  </si>
  <si>
    <t xml:space="preserve">    Infrastructure</t>
  </si>
  <si>
    <t xml:space="preserve">       Total Accumulated Depreciation</t>
  </si>
  <si>
    <t xml:space="preserve">   </t>
  </si>
  <si>
    <t xml:space="preserve">   Total Depreciable Capital Assets, Net</t>
  </si>
  <si>
    <t xml:space="preserve">   Total Capital Assets, Net</t>
  </si>
  <si>
    <t xml:space="preserve">      Total Receivables, Gross</t>
  </si>
  <si>
    <t>Gross Amounts:</t>
  </si>
  <si>
    <t xml:space="preserve">Other Receivables </t>
  </si>
  <si>
    <t>Is any of the inventory pledged or have a lien against it?</t>
  </si>
  <si>
    <t xml:space="preserve">       Total Allowance for Doubtful Accounts</t>
  </si>
  <si>
    <t xml:space="preserve">       Total Receivables, Net</t>
  </si>
  <si>
    <t>YES</t>
  </si>
  <si>
    <t>NO</t>
  </si>
  <si>
    <t>Agency Number:</t>
  </si>
  <si>
    <t>Issuances and Other Increases</t>
  </si>
  <si>
    <t>Due Within One Year</t>
  </si>
  <si>
    <t>Retirements and Other Decreases (negative $)</t>
  </si>
  <si>
    <t xml:space="preserve">    Total</t>
  </si>
  <si>
    <t>(positive $)</t>
  </si>
  <si>
    <t>(negative $)</t>
  </si>
  <si>
    <t>FIFO</t>
  </si>
  <si>
    <t>LIFO</t>
  </si>
  <si>
    <t>Average Cost</t>
  </si>
  <si>
    <t>Cost</t>
  </si>
  <si>
    <t>Weighted Average</t>
  </si>
  <si>
    <t>Current Market Cost</t>
  </si>
  <si>
    <t>Method used to determine value</t>
  </si>
  <si>
    <t>Cost used to determine value</t>
  </si>
  <si>
    <t>Lower of Cost or Market</t>
  </si>
  <si>
    <t>Balance Sheet</t>
  </si>
  <si>
    <t>Reserved for Debt Service</t>
  </si>
  <si>
    <t>No</t>
  </si>
  <si>
    <t>Date Completed:</t>
  </si>
  <si>
    <t>Agency Contact Name:</t>
  </si>
  <si>
    <t>Agency Contact Phone Number:</t>
  </si>
  <si>
    <t>Agency Contact E-mail Address:</t>
  </si>
  <si>
    <t>Cash Basis</t>
  </si>
  <si>
    <t>Modified Accrual Basis</t>
  </si>
  <si>
    <t>Compensated Absences - Due Within One Year</t>
  </si>
  <si>
    <t>Long-term Liabilities Due Within One Year - Total</t>
  </si>
  <si>
    <t>Rights &amp; Privileges</t>
  </si>
  <si>
    <t>Institutional</t>
  </si>
  <si>
    <t>Fines, Forfeitures, Court Fees, Penalties and Escheats</t>
  </si>
  <si>
    <t>Assess &amp; Receipts for Support of Special Services</t>
  </si>
  <si>
    <t>Receipts from Cities, Counties, and Towns</t>
  </si>
  <si>
    <t>Private Gifts, Grants, and Contracts</t>
  </si>
  <si>
    <t>Sales of Property</t>
  </si>
  <si>
    <t>General Government</t>
  </si>
  <si>
    <t>Education</t>
  </si>
  <si>
    <t>Transportation</t>
  </si>
  <si>
    <t>Resources &amp; Economic Development</t>
  </si>
  <si>
    <t>Individual &amp; Family Services</t>
  </si>
  <si>
    <t>Administration of Justice</t>
  </si>
  <si>
    <t>Debt Service:</t>
  </si>
  <si>
    <t>Principal Retirement</t>
  </si>
  <si>
    <t>Interest and Charges</t>
  </si>
  <si>
    <t>Interest, Dividends, Rents and other Investment Income</t>
  </si>
  <si>
    <t>Investments with the Treasurer</t>
  </si>
  <si>
    <t>TOTAL EXPENDITURES</t>
  </si>
  <si>
    <t>TOTAL REVENUES</t>
  </si>
  <si>
    <t>REVENUES OVER (UNDER) EXPENDITURES</t>
  </si>
  <si>
    <t>CHANGE IN FUND BALANCE</t>
  </si>
  <si>
    <t>TOTAL FUND BALANCE - ENDING</t>
  </si>
  <si>
    <t>Total Fund Balance - Beginning</t>
  </si>
  <si>
    <t>c)  Provide an explanation if the reported amount is negative</t>
  </si>
  <si>
    <t xml:space="preserve">at amortized cost.  A "no" answer to these questions would indicate that these types of investments are reported </t>
  </si>
  <si>
    <t>FUND BALANCE</t>
  </si>
  <si>
    <t>TOTAL FUND BALANCE</t>
  </si>
  <si>
    <t>Special Revenue Fund</t>
  </si>
  <si>
    <t>Debt Service Fund</t>
  </si>
  <si>
    <t>Permanent Fund</t>
  </si>
  <si>
    <t xml:space="preserve">Cash Held with the Treasurer </t>
  </si>
  <si>
    <t>Statement of Revenues, Expenses, and Changes in Fund Balance</t>
  </si>
  <si>
    <t xml:space="preserve">Other Assets </t>
  </si>
  <si>
    <t>Internal Balances</t>
  </si>
  <si>
    <t>Nondepreciable Capital Assets</t>
  </si>
  <si>
    <t>Compensated Absences - Due In More Than One Year</t>
  </si>
  <si>
    <t>Other Long-term Liabilities - Due In More Than One Year</t>
  </si>
  <si>
    <t>Long-term Liabilities Due In More Than One Year - Total</t>
  </si>
  <si>
    <t>Statement of Activities</t>
  </si>
  <si>
    <t>Restricted For:</t>
  </si>
  <si>
    <t>Nonexpendable</t>
  </si>
  <si>
    <t>Permanent Funds</t>
  </si>
  <si>
    <t>24Z</t>
  </si>
  <si>
    <t>Due to External Parties (Fiduciary Funds)</t>
  </si>
  <si>
    <t>Restricted for (include description):</t>
  </si>
  <si>
    <t>Debt Service</t>
  </si>
  <si>
    <t>Unrestricted</t>
  </si>
  <si>
    <t>Full Accrual Adjusting Entries</t>
  </si>
  <si>
    <t>Full Accrual Government-wide Statement Totals</t>
  </si>
  <si>
    <t>General Government:</t>
  </si>
  <si>
    <t>Charges for Services</t>
  </si>
  <si>
    <t>Operating Grants and Contributions</t>
  </si>
  <si>
    <t>Capital Grants and Contributions</t>
  </si>
  <si>
    <t>Education:</t>
  </si>
  <si>
    <t>Transportation:</t>
  </si>
  <si>
    <t>Resources and Economic Development:</t>
  </si>
  <si>
    <t>Individual and Family Services:</t>
  </si>
  <si>
    <t>Administration of Justice:</t>
  </si>
  <si>
    <t>Unrestricted Grants and Contributions</t>
  </si>
  <si>
    <t>Investment Earnings</t>
  </si>
  <si>
    <t>Miscellaneous</t>
  </si>
  <si>
    <t>Contributions to Permanent Funds</t>
  </si>
  <si>
    <t>Transfers</t>
  </si>
  <si>
    <t>Bonds Payable</t>
  </si>
  <si>
    <t>Governmental Fund Type and Name:</t>
  </si>
  <si>
    <t>Virginia War Memorial - Special Revenue</t>
  </si>
  <si>
    <t>J. Bryan Trust Fund - Special Revenue</t>
  </si>
  <si>
    <t>Juvenile Justice Commissary Fund - Special Revenue</t>
  </si>
  <si>
    <t>Juvenile Justice Donation Trust Fund - Special Revenue</t>
  </si>
  <si>
    <t>Virginia Rehab Center for the Blind Trust Fund - Special Revenue</t>
  </si>
  <si>
    <t>Virginia Museum of Fine Arts - Special Revenue</t>
  </si>
  <si>
    <t>Client's Protection Fund - Special Revenue</t>
  </si>
  <si>
    <t>Administration Finance Fund - Special Revenue</t>
  </si>
  <si>
    <t>Maturity</t>
  </si>
  <si>
    <t>Principal</t>
  </si>
  <si>
    <t>Interest</t>
  </si>
  <si>
    <t>Total</t>
  </si>
  <si>
    <t>Less: Unamortized Discount (negative amount)</t>
  </si>
  <si>
    <t>Less: Discount Unaccreted Capital Appreciation Bonds (negative amount)</t>
  </si>
  <si>
    <t>Part 2:  Bonds Payable</t>
  </si>
  <si>
    <t>Yes</t>
  </si>
  <si>
    <t>Fiscal Officer</t>
  </si>
  <si>
    <t>Shannon M. Hargitt</t>
  </si>
  <si>
    <t>Kristin A. Reiter</t>
  </si>
  <si>
    <t>Reggie Williams</t>
  </si>
  <si>
    <t>2) The agency is in violation of a pollution prevention-related permit or license, such as a Resource Conservation and Recovery Act permit or similar permits under state law.</t>
  </si>
  <si>
    <t>3) The agency is named, or evidence indicates that it will be named, by a regulator as a responsible party or potentially responsible party for remediation, or as an agency responsible for sharing costs.</t>
  </si>
  <si>
    <t>4) The agency is named, or evidence indicates that it will be named, in a lawsuit to compel your agency to participate in remediation.</t>
  </si>
  <si>
    <t xml:space="preserve">5) The agency commences, or legally obligates itself to commence, cleanup activities or monitoring or operation and maintenance of the remediation effort.  If these activities are voluntarily commenced and none of the other obligating events have occurred relative to the entire site, the amount recognized should be based on the portion of the remediation project that your agency has initiated and is legally required to complete. </t>
  </si>
  <si>
    <t>9d</t>
  </si>
  <si>
    <t xml:space="preserve">                   depositor-government's name</t>
  </si>
  <si>
    <t>Ellie Boyd</t>
  </si>
  <si>
    <t>Donna Carter</t>
  </si>
  <si>
    <t>Tracey DeBord</t>
  </si>
  <si>
    <t>Department of Corrections Commissary Fund - Special Revenue</t>
  </si>
  <si>
    <r>
      <t xml:space="preserve">Part 1)  Are cash equivalents and investments properly reported in accordance with </t>
    </r>
    <r>
      <rPr>
        <b/>
        <u/>
        <sz val="10"/>
        <rFont val="Times New Roman"/>
        <family val="1"/>
      </rPr>
      <t>GASBS No. 31</t>
    </r>
    <r>
      <rPr>
        <sz val="10"/>
        <rFont val="Times New Roman"/>
        <family val="1"/>
      </rPr>
      <t xml:space="preserve">, </t>
    </r>
    <r>
      <rPr>
        <i/>
        <sz val="10"/>
        <rFont val="Times New Roman"/>
        <family val="1"/>
      </rPr>
      <t xml:space="preserve">Accounting and Financial Reporting </t>
    </r>
  </si>
  <si>
    <t>Virginia School for the Deaf and Blind, Staunton - Special Revenue</t>
  </si>
  <si>
    <t>HOUSE OF DELEGATES</t>
  </si>
  <si>
    <t>MAGISTRATE SYSTEM</t>
  </si>
  <si>
    <t>DIVISION OF LEGISLATIVE SERVICES</t>
  </si>
  <si>
    <t>VIRGINIA CODE COMMISSION</t>
  </si>
  <si>
    <t>SUPREME COURT</t>
  </si>
  <si>
    <t>JUDICIAL INQUIRY AND REVIEW COMMISSION</t>
  </si>
  <si>
    <t>CIRCUIT COURTS</t>
  </si>
  <si>
    <t>GENERAL DISTRICT COURTS</t>
  </si>
  <si>
    <t>COMBINED DISTRICT COURTS</t>
  </si>
  <si>
    <t>VIRGINIA STATE BAR</t>
  </si>
  <si>
    <t>OFFICE OF THE GOVERNOR</t>
  </si>
  <si>
    <t>DEPARTMENT OF PLANNING AND BUDGET</t>
  </si>
  <si>
    <t>DEPARTMENT OF MILITARY AFFAIRS</t>
  </si>
  <si>
    <t>COURT OF APPEALS OF VIRGINIA</t>
  </si>
  <si>
    <t>DEPARTMENT OF EMERGENCY MANAGEMENT</t>
  </si>
  <si>
    <t>Angela Coleman</t>
  </si>
  <si>
    <t>DEPARTMENT OF HISTORIC RESOURCES</t>
  </si>
  <si>
    <t>COMMISSION ON CIVICS EDUCATION</t>
  </si>
  <si>
    <t>DEPARTMENT OF HUMAN RESOURCE MANAGEMENT</t>
  </si>
  <si>
    <t>AUDITOR OF PUBLIC ACCOUNTS</t>
  </si>
  <si>
    <t>DEPARTMENT OF CRIMINAL JUSTICE SERVICES</t>
  </si>
  <si>
    <t>THE SCIENCE MUSEUM OF VIRGINIA</t>
  </si>
  <si>
    <t>VIRGINIA COMMISSION FOR THE ARTS</t>
  </si>
  <si>
    <t>ADMINISTRATION OF HEALTH INSURANCE</t>
  </si>
  <si>
    <t>DEPARTMENT OF ACCOUNTS</t>
  </si>
  <si>
    <t>DEPARTMENT OF THE TREASURY</t>
  </si>
  <si>
    <t>DEPARTMENT OF MOTOR VEHICLES</t>
  </si>
  <si>
    <t>TREASURY BOARD</t>
  </si>
  <si>
    <t>DEPARTMENT OF STATE POLICE</t>
  </si>
  <si>
    <t>COMPENSATION BOARD</t>
  </si>
  <si>
    <t>VIRGINIA RETIREMENT SYSTEM</t>
  </si>
  <si>
    <t>VIRGINIA CRIMINAL SENTENCING COMMISSION</t>
  </si>
  <si>
    <t>DEPARTMENT OF TAXATION</t>
  </si>
  <si>
    <t>SECRETARY OF THE COMMONWEALTH</t>
  </si>
  <si>
    <t>STATE CORPORATION COMMISSION</t>
  </si>
  <si>
    <t>VIRGINIA COLLEGE SAVINGS PLAN</t>
  </si>
  <si>
    <t>SECRETARY OF ADMINISTRATION</t>
  </si>
  <si>
    <t>6)  Methods and assumptions used for the above estimate</t>
  </si>
  <si>
    <t>7)  Describe the potential for changes (i.e. price increases or reductions, technology, applicable laws or regulations, etc.)</t>
  </si>
  <si>
    <r>
      <t xml:space="preserve">     </t>
    </r>
    <r>
      <rPr>
        <i/>
        <u/>
        <sz val="10"/>
        <rFont val="Times New Roman"/>
        <family val="1"/>
      </rPr>
      <t>Code of Virginia</t>
    </r>
    <r>
      <rPr>
        <sz val="10"/>
        <rFont val="Times New Roman"/>
        <family val="1"/>
      </rPr>
      <t>)</t>
    </r>
  </si>
  <si>
    <t>DEPARTMENT OF LABOR AND INDUSTRY</t>
  </si>
  <si>
    <t>VIRGINIA EMPLOYMENT COMMISSION</t>
  </si>
  <si>
    <t>SECRETARY OF EDUCATION</t>
  </si>
  <si>
    <t>SECRETARY OF TRANSPORTATION</t>
  </si>
  <si>
    <t>SECRETARY OF HEALTH AND HUMAN RESOURCES</t>
  </si>
  <si>
    <t>SECRETARY OF FINANCE</t>
  </si>
  <si>
    <t>SECRETARY OF COMMERCE AND TRADE</t>
  </si>
  <si>
    <t>DEPARTMENT OF GENERAL SERVICES</t>
  </si>
  <si>
    <t>THE LIBRARY OF VIRGINIA</t>
  </si>
  <si>
    <t xml:space="preserve">
CASH BASIS
Fund Statements</t>
  </si>
  <si>
    <t>MODIFIED ACCRUAL 
ADJUSTING ENTRIES
Fund Statements</t>
  </si>
  <si>
    <t>TOTAL
MODIFIED ACCRUAL
Fund Statements</t>
  </si>
  <si>
    <t>FULL ACCRUAL
ADJUSTING ENTRIES
Gov't-wide Statements</t>
  </si>
  <si>
    <t>OTHER GOV'T-WIDE
ADJUSTING ENTRIES
Gov't-wide Statements</t>
  </si>
  <si>
    <t>TOTAL
FULL ACCRUAL
Gov't-wide Statements</t>
  </si>
  <si>
    <t>DEPARTMENT OF HEALTH PROFESSIONS</t>
  </si>
  <si>
    <t>BOARD OF ACCOUNTANCY</t>
  </si>
  <si>
    <t>BOARD OF BAR EXAMINERS</t>
  </si>
  <si>
    <t>VIRGINIA MUSEUM OF FINE ARTS</t>
  </si>
  <si>
    <t>FRONTIER CULTURE MUSEUM OF VIRGINIA</t>
  </si>
  <si>
    <t>VIRGINIA-ISRAEL ADVISORY BOARD</t>
  </si>
  <si>
    <t>MARINE RESOURCES COMMISSION</t>
  </si>
  <si>
    <t>VIRGINIA RACING COMMISSION</t>
  </si>
  <si>
    <t>Part 2.1)</t>
  </si>
  <si>
    <t>Nonnegotiable Certificates of Deposit (not held with the Treasurer of VA)</t>
  </si>
  <si>
    <t>Part 2.2)</t>
  </si>
  <si>
    <t xml:space="preserve">Total cash and nonnegotiable CDs collateralized or not collateralized </t>
  </si>
  <si>
    <t>GUNSTON HALL</t>
  </si>
  <si>
    <t>JAMESTOWN-YORKTOWN FOUNDATION</t>
  </si>
  <si>
    <t>DEPARTMENT OF ENVIRONMENTAL QUALITY</t>
  </si>
  <si>
    <t>DEPARTMENT OF TRANSPORTATION</t>
  </si>
  <si>
    <t>MOTOR VEHICLE DEALER BOARD</t>
  </si>
  <si>
    <t>DEPARTMENT OF HEALTH</t>
  </si>
  <si>
    <t>Tab 5-Transfers In &amp; Out</t>
  </si>
  <si>
    <t>Tab 6-Restatements</t>
  </si>
  <si>
    <t>Tab 7-Fluctuation Analysis</t>
  </si>
  <si>
    <t>Agency Unsecured Bonds and Notes</t>
  </si>
  <si>
    <t>#</t>
  </si>
  <si>
    <t xml:space="preserve">Reported as </t>
  </si>
  <si>
    <t>1a)</t>
  </si>
  <si>
    <t>Cost-based measure - provided that the fair value is not significantly affected by the impairment of the credit standing of the issuer or other factors</t>
  </si>
  <si>
    <t>1b)</t>
  </si>
  <si>
    <t>Amortized Cost - provided that the fair value is not significantly affected by the impairment of the credit standing of the issuer or by other factors</t>
  </si>
  <si>
    <t>1c)</t>
  </si>
  <si>
    <t>If "error" below, see Fund Balance Reconciliation Tab</t>
  </si>
  <si>
    <t>1b</t>
  </si>
  <si>
    <t>Cecelia Storm</t>
  </si>
  <si>
    <t>Tammy Davidson</t>
  </si>
  <si>
    <t>VIRGINIA STATE CRIME COMMISSION</t>
  </si>
  <si>
    <t>Douglas Page</t>
  </si>
  <si>
    <t>Please enter detailed descriptions that comprise Fund Balance by Nonspendable, Restricted, Committed, and Assigned categories and provide the associated dollar amounts.  The total for Nonspendable, Restricted, Committed, and Assigned must agree with the Fund Financial Stmt Template tab or error messages will appear on the Template.</t>
  </si>
  <si>
    <t>* N/A -  Not applicable because the fund does not have this type of investment.</t>
  </si>
  <si>
    <t>Tab 3:  Due To/From</t>
  </si>
  <si>
    <t>Tab 5:  Transfers In/Out</t>
  </si>
  <si>
    <t>Accounts Payable - Salary/Wage</t>
  </si>
  <si>
    <t>Christie Wells</t>
  </si>
  <si>
    <t>OFFICE OF THE STATE INSPECTOR GENERAL</t>
  </si>
  <si>
    <t>Julie O'Kelly</t>
  </si>
  <si>
    <t>11a</t>
  </si>
  <si>
    <t>11b</t>
  </si>
  <si>
    <t>11c</t>
  </si>
  <si>
    <t>11d</t>
  </si>
  <si>
    <t>11e</t>
  </si>
  <si>
    <t>If yes, provide amount</t>
  </si>
  <si>
    <t>Overall Category - Description of Deferred Outflows of Resources</t>
  </si>
  <si>
    <t>Overall Category - Description of Deferred Inflows of Resources</t>
  </si>
  <si>
    <t>Yes or No</t>
  </si>
  <si>
    <t>DEFERRED OUTFLOWS OF RESOURCES</t>
  </si>
  <si>
    <t>DEFERRED INFLOWS OF RESOURCES</t>
  </si>
  <si>
    <t>TOTAL ASSETS &amp; DEFERRED OUTFLOWS</t>
  </si>
  <si>
    <t>TOTAL LIABILITIES &amp; DEFERRED INFLOWS</t>
  </si>
  <si>
    <t>Total Net Position - Beginning</t>
  </si>
  <si>
    <t>CHANGE IN NET POSITION</t>
  </si>
  <si>
    <t>TOTAL NET POSITION - ENDING</t>
  </si>
  <si>
    <t>TOTAL NET POSITION</t>
  </si>
  <si>
    <t>NET POSITION</t>
  </si>
  <si>
    <t>Beginning Fund Balance/Net Position Restatement:</t>
  </si>
  <si>
    <t>Total Current Year Beginning Fund Balance/Beginning Net Position</t>
  </si>
  <si>
    <t>Net Investment in Capital Assets</t>
  </si>
  <si>
    <t>Statement of Revenues, Expenditures, and Changes in Fund Balance</t>
  </si>
  <si>
    <t>ASSETS AND DEFERRED OUTFLOWS OF RESOURCES:</t>
  </si>
  <si>
    <t>LIABILITIES AND DEFERRED INFLOWS  OF RESOURCES:</t>
  </si>
  <si>
    <t>LIABILITIES AND DEFERRED INFLOWS OF RESOURCES:</t>
  </si>
  <si>
    <t>Statement of Net Position</t>
  </si>
  <si>
    <t>Reclassify Revenue and Fund Balance / Net Position</t>
  </si>
  <si>
    <t>EXPENSES:</t>
  </si>
  <si>
    <t>Fluctuation Analysis - Statement of Revenues, Expenditures, and Changes in Fund Balance</t>
  </si>
  <si>
    <t>Does the fund as a transferor have more than one contract that qualifies as a Service Concession Arrangement?</t>
  </si>
  <si>
    <t>Does the fund as an operator have more than one contract that qualifies as a Service Concession Arrangement?</t>
  </si>
  <si>
    <t>TOTAL EXPENSES</t>
  </si>
  <si>
    <t>REVENUES OVER (UNDER) EXPENSES</t>
  </si>
  <si>
    <t>Michelle Vucci</t>
  </si>
  <si>
    <t>1)</t>
  </si>
  <si>
    <t>Answer Required</t>
  </si>
  <si>
    <t>There should be no "Error" messages or cells with "Answer Required".  Have you reviewed the submission and removed all Error messages and answered all questions?  If not, investigate and make corrections as deemed necessary.</t>
  </si>
  <si>
    <t>2)</t>
  </si>
  <si>
    <r>
      <t>Reasonableness</t>
    </r>
    <r>
      <rPr>
        <sz val="10"/>
        <rFont val="Times New Roman"/>
        <family val="1"/>
      </rPr>
      <t>:  Do amounts appear reasonable?  Some indications of unreasonable amounts are as follows:</t>
    </r>
  </si>
  <si>
    <t xml:space="preserve">a)  There are negative amounts for line items that should not be negative.  </t>
  </si>
  <si>
    <t>b) Significant fluctuations on the attachment between prior year and current year amounts may be an indication of amounts being reported on the incorrect line item.</t>
  </si>
  <si>
    <t>3)</t>
  </si>
  <si>
    <r>
      <t>Extraordinary items</t>
    </r>
    <r>
      <rPr>
        <sz val="10"/>
        <rFont val="Times New Roman"/>
        <family val="1"/>
      </rPr>
      <t xml:space="preserve"> are defined as transactions/events that are both unusual in nature and infrequent in occurrence.  </t>
    </r>
  </si>
  <si>
    <r>
      <t>Special items</t>
    </r>
    <r>
      <rPr>
        <sz val="10"/>
        <rFont val="Times New Roman"/>
        <family val="1"/>
      </rPr>
      <t xml:space="preserve"> are defined as significant transactions/events within the control of management that are either unusual in nature or infrequent in occurrence.</t>
    </r>
  </si>
  <si>
    <t>4)</t>
  </si>
  <si>
    <t>5)</t>
  </si>
  <si>
    <r>
      <rPr>
        <b/>
        <sz val="10"/>
        <rFont val="Times New Roman"/>
        <family val="1"/>
      </rPr>
      <t>Fund Balance</t>
    </r>
    <r>
      <rPr>
        <sz val="10"/>
        <rFont val="Times New Roman"/>
        <family val="1"/>
      </rPr>
      <t>:  Has the fund balance been properly classified and descriptions provided on the Fund Balance Reconciliation Tab?</t>
    </r>
  </si>
  <si>
    <t>I certify that the above questions have been completed and reviewed.</t>
  </si>
  <si>
    <t>Assets or Revenues</t>
  </si>
  <si>
    <t>Materiality Scope</t>
  </si>
  <si>
    <t>Largest of Total Assets &amp; Deferred Outflows or Total Revenues</t>
  </si>
  <si>
    <t>Overall Derivative Instrument Categories:</t>
  </si>
  <si>
    <t>-Hedging derivative instrument - effective hedge</t>
  </si>
  <si>
    <t>-Investment derivative instrument - ineffective hedge</t>
  </si>
  <si>
    <t>-Fully benefit-responsive synthetic guaranteed investment contracts (SGICs)</t>
  </si>
  <si>
    <t>12c</t>
  </si>
  <si>
    <t>-Fully benefit-responsive synthetic guaranteed investment contracts</t>
  </si>
  <si>
    <t>Notional $</t>
  </si>
  <si>
    <t>Description of the hedging item</t>
  </si>
  <si>
    <t>12d</t>
  </si>
  <si>
    <t>12e</t>
  </si>
  <si>
    <t>12f</t>
  </si>
  <si>
    <r>
      <t xml:space="preserve">Part 3)  Were the transactions to record the termination of the hedging derivative instrument - effective hedge properly reported on the template in accordance with </t>
    </r>
    <r>
      <rPr>
        <b/>
        <u/>
        <sz val="10"/>
        <rFont val="Times New Roman"/>
        <family val="1"/>
      </rPr>
      <t>GASBS No. 53</t>
    </r>
    <r>
      <rPr>
        <sz val="10"/>
        <rFont val="Times New Roman"/>
        <family val="1"/>
      </rPr>
      <t>?  If no, explain.</t>
    </r>
  </si>
  <si>
    <t>14a</t>
  </si>
  <si>
    <t>The total must agree with what is reported on the template</t>
  </si>
  <si>
    <t>14b</t>
  </si>
  <si>
    <t>14c</t>
  </si>
  <si>
    <t>#) Overall Category - Description of Expenses</t>
  </si>
  <si>
    <t>#) Overall Category - Description of Revenue</t>
  </si>
  <si>
    <r>
      <t xml:space="preserve">5) </t>
    </r>
    <r>
      <rPr>
        <b/>
        <sz val="10"/>
        <rFont val="Times New Roman"/>
        <family val="1"/>
      </rPr>
      <t>Intra-Entity Transfers of Future Revenues</t>
    </r>
    <r>
      <rPr>
        <sz val="10"/>
        <rFont val="Times New Roman"/>
        <family val="1"/>
      </rPr>
      <t xml:space="preserve"> - Amount  the transferee government paid to the transferor government in an intra-entity sale of future revenues (</t>
    </r>
    <r>
      <rPr>
        <b/>
        <u/>
        <sz val="10"/>
        <rFont val="Times New Roman"/>
        <family val="1"/>
      </rPr>
      <t>GASBS No. 65</t>
    </r>
    <r>
      <rPr>
        <sz val="10"/>
        <rFont val="Times New Roman"/>
        <family val="1"/>
      </rPr>
      <t xml:space="preserve"> paragraphs 11 &amp;  13)</t>
    </r>
  </si>
  <si>
    <r>
      <t xml:space="preserve">6) </t>
    </r>
    <r>
      <rPr>
        <b/>
        <sz val="10"/>
        <rFont val="Times New Roman"/>
        <family val="1"/>
      </rPr>
      <t xml:space="preserve">Sale-Leaseback Transactions </t>
    </r>
    <r>
      <rPr>
        <sz val="10"/>
        <rFont val="Times New Roman"/>
        <family val="1"/>
      </rPr>
      <t>- Loss on the sale of property  that is accompanied by a leaseback of all or any part of the property for all or part of its remaining economic life   (</t>
    </r>
    <r>
      <rPr>
        <b/>
        <u/>
        <sz val="10"/>
        <rFont val="Times New Roman"/>
        <family val="1"/>
      </rPr>
      <t>GASBS No. 65</t>
    </r>
    <r>
      <rPr>
        <sz val="10"/>
        <rFont val="Times New Roman"/>
        <family val="1"/>
      </rPr>
      <t xml:space="preserve"> paragraphs 16 &amp; 18)</t>
    </r>
  </si>
  <si>
    <t>-Hedging derivative instrument - effective hedge (If yes, complete 11c - Parts 2 &amp; 3)</t>
  </si>
  <si>
    <t>12a</t>
  </si>
  <si>
    <t>12b</t>
  </si>
  <si>
    <t>12h</t>
  </si>
  <si>
    <t>12i</t>
  </si>
  <si>
    <t>12j</t>
  </si>
  <si>
    <t>12k</t>
  </si>
  <si>
    <t>12l</t>
  </si>
  <si>
    <t>If yes to 12a, is the operator compensated directly from the users of the facility?  The users in this context is anyone outside of state government.</t>
  </si>
  <si>
    <t>If yes to 12c, is the fund (transferor) entitled to significant residual interest in the service utility of the facility at the end of the arrangement?</t>
  </si>
  <si>
    <t>If yes to 12g, is the fund (operator) compensated directly from the users of the facility?  The users in this context is anyone outside of state government.</t>
  </si>
  <si>
    <t>If yes to 12i, is the transferor entitled to significant residual interest in the service utility of the facility at the end of the arrangement?</t>
  </si>
  <si>
    <t>13a</t>
  </si>
  <si>
    <t>13b</t>
  </si>
  <si>
    <t>13c</t>
  </si>
  <si>
    <t xml:space="preserve">Deferred Outflows of Resources (linked to Fund Financial Stmt Template tab) </t>
  </si>
  <si>
    <r>
      <t xml:space="preserve">2) </t>
    </r>
    <r>
      <rPr>
        <b/>
        <sz val="10"/>
        <rFont val="Times New Roman"/>
        <family val="1"/>
      </rPr>
      <t>Intra-Entity Transfers of Future Revenues</t>
    </r>
    <r>
      <rPr>
        <sz val="10"/>
        <rFont val="Times New Roman"/>
        <family val="1"/>
      </rPr>
      <t xml:space="preserve"> - Amount  the transferee government paid to the transferor government in an intra-entity sale of future revenues (</t>
    </r>
    <r>
      <rPr>
        <b/>
        <u/>
        <sz val="10"/>
        <rFont val="Times New Roman"/>
        <family val="1"/>
      </rPr>
      <t>GASBS No. 65</t>
    </r>
    <r>
      <rPr>
        <sz val="10"/>
        <rFont val="Times New Roman"/>
        <family val="1"/>
      </rPr>
      <t xml:space="preserve"> paragraphs 11 &amp;  13)</t>
    </r>
  </si>
  <si>
    <t xml:space="preserve">Deferred Inflows of Resources (linked to Fund Financial Stmt Template tab) </t>
  </si>
  <si>
    <r>
      <t xml:space="preserve">2)  </t>
    </r>
    <r>
      <rPr>
        <b/>
        <sz val="10"/>
        <rFont val="Times New Roman"/>
        <family val="1"/>
      </rPr>
      <t>Imposed Nonexchange Revenue Transactions</t>
    </r>
    <r>
      <rPr>
        <sz val="10"/>
        <rFont val="Times New Roman"/>
        <family val="1"/>
      </rPr>
      <t xml:space="preserve"> - Amounts received or reported as a receivable before the period when resources are required to be used or when use is first permitted in which the enabling legislation includes time requirements (</t>
    </r>
    <r>
      <rPr>
        <b/>
        <u/>
        <sz val="10"/>
        <rFont val="Times New Roman"/>
        <family val="1"/>
      </rPr>
      <t>GASBS No. 65</t>
    </r>
    <r>
      <rPr>
        <sz val="10"/>
        <rFont val="Times New Roman"/>
        <family val="1"/>
      </rPr>
      <t xml:space="preserve"> paragraphs 8 &amp; 9)</t>
    </r>
  </si>
  <si>
    <r>
      <t xml:space="preserve">3)  </t>
    </r>
    <r>
      <rPr>
        <b/>
        <sz val="10"/>
        <rFont val="Times New Roman"/>
        <family val="1"/>
      </rPr>
      <t>Sale of Future Revenues &amp; Intra-Entity Transfers of Future Revenues</t>
    </r>
    <r>
      <rPr>
        <sz val="10"/>
        <rFont val="Times New Roman"/>
        <family val="1"/>
      </rPr>
      <t xml:space="preserve"> - Amount a transferor government receives as proceeds in the sale of future revenue transactions except for instances requiring revenue recognition in the period of sale as discussed in </t>
    </r>
    <r>
      <rPr>
        <b/>
        <u/>
        <sz val="10"/>
        <rFont val="Times New Roman"/>
        <family val="1"/>
      </rPr>
      <t>GASB No. 48</t>
    </r>
    <r>
      <rPr>
        <sz val="10"/>
        <rFont val="Times New Roman"/>
        <family val="1"/>
      </rPr>
      <t xml:space="preserve"> paragraph 14 (</t>
    </r>
    <r>
      <rPr>
        <b/>
        <u/>
        <sz val="10"/>
        <rFont val="Times New Roman"/>
        <family val="1"/>
      </rPr>
      <t>GASBS No. 65</t>
    </r>
    <r>
      <rPr>
        <sz val="10"/>
        <rFont val="Times New Roman"/>
        <family val="1"/>
      </rPr>
      <t xml:space="preserve"> paragraphs 11, 12 &amp; 13)</t>
    </r>
  </si>
  <si>
    <t>5)  Provide the financial statement template line item that the above estimated net pollution remediation liability -recognized amount is reported</t>
  </si>
  <si>
    <t xml:space="preserve">a)  Provide the amount in 2.2 above that is covered by federal depository insurance.  Refer to the </t>
  </si>
  <si>
    <t>Does this fund have any subsequent events that need to be reported and/or disclosed?</t>
  </si>
  <si>
    <t>Payee/Description of Prepaid</t>
  </si>
  <si>
    <t>Does this fund anticipate significant revisions to the current financial statement template?</t>
  </si>
  <si>
    <r>
      <t>Purpose</t>
    </r>
    <r>
      <rPr>
        <sz val="10"/>
        <rFont val="Times New Roman"/>
        <family val="1"/>
      </rPr>
      <t>:  This tab is to help ensure completeness of this attachment.  After the attachment is completed please answer the following questions.</t>
    </r>
  </si>
  <si>
    <t xml:space="preserve">Deferred Outflows of Resources (linked to Government-wide financial statement template) </t>
  </si>
  <si>
    <t xml:space="preserve">Deferred Inflows of Resources (linked to government-wide financial statement template) </t>
  </si>
  <si>
    <t>The total must agree with what is reported on the government-wide financial statement template</t>
  </si>
  <si>
    <t>SECRETARY OF VETERANS AND DEFENSE AFFAIRS</t>
  </si>
  <si>
    <t>Corporate Bonds and Notes</t>
  </si>
  <si>
    <t>VIRGINIA COMMISSION ON INTERGOVERNMENTAL COOPERATION</t>
  </si>
  <si>
    <t>DIVISION OF LEGISLATIVE AUTOMATED SYSTEMS</t>
  </si>
  <si>
    <t>DEPARTMENT OF ELECTIONS</t>
  </si>
  <si>
    <t>VIRGINIA LOTTERY</t>
  </si>
  <si>
    <t>VIRGINIA WORKERS' COMPENSATION COMMISSION</t>
  </si>
  <si>
    <t>DEPARTMENT OF EDUCATION-DIRECT AID TO PUBLIC EDUCATION</t>
  </si>
  <si>
    <t>DEPARTMENT OF CONSERVATION AND RECREATION</t>
  </si>
  <si>
    <t>Sharon Partee</t>
  </si>
  <si>
    <t>VIRGINIA SCHOOL FOR THE DEAF AND THE BLIND</t>
  </si>
  <si>
    <t>STATE COUNCIL OF HIGHER EDUCATION FOR VIRGINIA</t>
  </si>
  <si>
    <t>VIRGINIA REHABILITATION CENTER FOR THE BLIND AND VISION IMPAIRED</t>
  </si>
  <si>
    <t>DEPARTMENT OF RAIL AND PUBLIC TRANSPORTATION</t>
  </si>
  <si>
    <t>VIRGINIA COMMERCIAL SPACE FLIGHT AUTHORITY</t>
  </si>
  <si>
    <t>DEPARTMENT OF MEDICAL ASSISTANCE SERVICES</t>
  </si>
  <si>
    <t>VIRGINIA BOARD FOR PEOPLE WITH DISABILITIES</t>
  </si>
  <si>
    <t>Theodore Darden, Jr.</t>
  </si>
  <si>
    <t>VIRGINIA FREEDOM OF INFORMATION ADVISORY COUNCIL</t>
  </si>
  <si>
    <t>JOINT COMMISSION ON TECHNOLOGY AND SCIENCE</t>
  </si>
  <si>
    <t>Overall description</t>
  </si>
  <si>
    <t>July Liability $ Amount</t>
  </si>
  <si>
    <t>Expected August Liability $ Amount</t>
  </si>
  <si>
    <t xml:space="preserve">Expected after August Liability $ Amount
</t>
  </si>
  <si>
    <t>Number of employees affected</t>
  </si>
  <si>
    <t>Time period that benefits will be provided</t>
  </si>
  <si>
    <t>Where are these amounts reported on the template?</t>
  </si>
  <si>
    <t>Significant methods and assumptions used to determine the termination benefit liabilities</t>
  </si>
  <si>
    <t xml:space="preserve">Indonesian Rupiah </t>
  </si>
  <si>
    <t>I certify that the above questions have been completed and are accurate.</t>
  </si>
  <si>
    <t>Certification</t>
  </si>
  <si>
    <t>Department for the Blind and Vision Impaired - Special Revenue</t>
  </si>
  <si>
    <r>
      <t xml:space="preserve">If </t>
    </r>
    <r>
      <rPr>
        <b/>
        <sz val="10"/>
        <rFont val="Times New Roman"/>
        <family val="1"/>
      </rPr>
      <t>yes</t>
    </r>
    <r>
      <rPr>
        <sz val="10"/>
        <rFont val="Times New Roman"/>
        <family val="1"/>
      </rPr>
      <t>, answer the following.</t>
    </r>
  </si>
  <si>
    <r>
      <rPr>
        <b/>
        <sz val="10"/>
        <rFont val="Times New Roman"/>
        <family val="1"/>
      </rPr>
      <t xml:space="preserve">Certification: </t>
    </r>
    <r>
      <rPr>
        <sz val="10"/>
        <rFont val="Times New Roman"/>
        <family val="1"/>
      </rPr>
      <t>Do you certify that you have read and understood the instructions for completing this attachment and that (if you are the reviewer) it has been reviewed and is complete and accurate?</t>
    </r>
  </si>
  <si>
    <t>TOTAL ASSETS &amp; DEFERRED OUTFLOWS OF RESOURCES</t>
  </si>
  <si>
    <t>TOTAL LIABILITIES &amp; DEFERRED INFLOWS OF RESOURCES</t>
  </si>
  <si>
    <t>Type (i.e., interest rate swap, interest rate lock, etc.)</t>
  </si>
  <si>
    <t>Money market investments with a remaining maturity at the time of purchase of one year or less</t>
  </si>
  <si>
    <t>Loans/Mortgages Receivable</t>
  </si>
  <si>
    <r>
      <rPr>
        <b/>
        <u/>
        <sz val="10"/>
        <rFont val="Times New Roman"/>
        <family val="1"/>
      </rPr>
      <t>Note</t>
    </r>
    <r>
      <rPr>
        <b/>
        <sz val="10"/>
        <rFont val="Times New Roman"/>
        <family val="1"/>
      </rPr>
      <t xml:space="preserve">: </t>
    </r>
    <r>
      <rPr>
        <sz val="10"/>
        <rFont val="Times New Roman"/>
        <family val="1"/>
      </rPr>
      <t xml:space="preserve"> If you discover an "Error" message on any tab that cannot be corrected because of a formula error or you cannot determine why there is an "Error" message, contact DOA.</t>
    </r>
  </si>
  <si>
    <r>
      <t>(</t>
    </r>
    <r>
      <rPr>
        <b/>
        <u/>
        <sz val="10"/>
        <rFont val="Times New Roman"/>
        <family val="1"/>
      </rPr>
      <t>Note</t>
    </r>
    <r>
      <rPr>
        <b/>
        <sz val="10"/>
        <rFont val="Times New Roman"/>
        <family val="1"/>
      </rPr>
      <t>:</t>
    </r>
    <r>
      <rPr>
        <sz val="10"/>
        <rFont val="Times New Roman"/>
        <family val="1"/>
      </rPr>
      <t xml:space="preserve">  There should be a segregation of duties; therefore, the preparer and the reviewer should not be the same.  By typing your names below you certify that the preparer and reviewer were not the same and you have read and understood the instructions for completing this attachment.)</t>
    </r>
  </si>
  <si>
    <t>Yes / No / N/A*</t>
  </si>
  <si>
    <t>Other (Please provide a description)</t>
  </si>
  <si>
    <t>Agency 129 - Risk Mgmt (DHRM)</t>
  </si>
  <si>
    <t>Agency 136 - VA Information Technology Agency</t>
  </si>
  <si>
    <t>Agency 149 - Health Insurance Fund</t>
  </si>
  <si>
    <t>Agency 151 - DOA (Enterprise Applications)</t>
  </si>
  <si>
    <t>Agency 151 - DOA (Payroll Service Bureau)</t>
  </si>
  <si>
    <t>Agency 152 - Risk Mgmt (Treasury)</t>
  </si>
  <si>
    <t>Agency 194 - Fleet Mgmt</t>
  </si>
  <si>
    <t>Agency 194 - General Services</t>
  </si>
  <si>
    <t>Agency 194 - Property Mgmt</t>
  </si>
  <si>
    <t>Agency 711 - VA Correctional Enterprises</t>
  </si>
  <si>
    <r>
      <t xml:space="preserve">4) </t>
    </r>
    <r>
      <rPr>
        <b/>
        <sz val="10"/>
        <rFont val="Times New Roman"/>
        <family val="1"/>
      </rPr>
      <t>Government-Mandated &amp; Voluntary Nonexchange Transactions</t>
    </r>
    <r>
      <rPr>
        <sz val="10"/>
        <rFont val="Times New Roman"/>
        <family val="1"/>
      </rPr>
      <t>:   Resources providers transmit to recipients before time requirements are met, but after the other eligibility requirements have been met  
(</t>
    </r>
    <r>
      <rPr>
        <b/>
        <u/>
        <sz val="10"/>
        <rFont val="Times New Roman"/>
        <family val="1"/>
      </rPr>
      <t>GASBS No. 65</t>
    </r>
    <r>
      <rPr>
        <sz val="10"/>
        <rFont val="Times New Roman"/>
        <family val="1"/>
      </rPr>
      <t xml:space="preserve"> paragraphs 8 &amp; 10)</t>
    </r>
  </si>
  <si>
    <r>
      <t xml:space="preserve">7) </t>
    </r>
    <r>
      <rPr>
        <b/>
        <sz val="10"/>
        <rFont val="Times New Roman"/>
        <family val="1"/>
      </rPr>
      <t>Mortgage Banking Activities</t>
    </r>
    <r>
      <rPr>
        <sz val="10"/>
        <rFont val="Times New Roman"/>
        <family val="1"/>
      </rPr>
      <t xml:space="preserve"> -  Direct loan origination costs of loans held for sale until loan is sold   
(</t>
    </r>
    <r>
      <rPr>
        <b/>
        <u/>
        <sz val="10"/>
        <rFont val="Times New Roman"/>
        <family val="1"/>
      </rPr>
      <t>GASBS No. 65</t>
    </r>
    <r>
      <rPr>
        <sz val="10"/>
        <rFont val="Times New Roman"/>
        <family val="1"/>
      </rPr>
      <t xml:space="preserve"> paragraphs 25 &amp; 26)</t>
    </r>
  </si>
  <si>
    <r>
      <t xml:space="preserve">8) </t>
    </r>
    <r>
      <rPr>
        <b/>
        <sz val="10"/>
        <rFont val="Times New Roman"/>
        <family val="1"/>
      </rPr>
      <t xml:space="preserve">Mortgage Banking Activities </t>
    </r>
    <r>
      <rPr>
        <sz val="10"/>
        <rFont val="Times New Roman"/>
        <family val="1"/>
      </rPr>
      <t>- Fees paid to permanent investors  prior to the sale of the loans 
(</t>
    </r>
    <r>
      <rPr>
        <b/>
        <u/>
        <sz val="10"/>
        <rFont val="Times New Roman"/>
        <family val="1"/>
      </rPr>
      <t>GASBS No. 65</t>
    </r>
    <r>
      <rPr>
        <sz val="10"/>
        <rFont val="Times New Roman"/>
        <family val="1"/>
      </rPr>
      <t xml:space="preserve"> paragraphs 25 &amp; 27)</t>
    </r>
  </si>
  <si>
    <r>
      <t xml:space="preserve">1) </t>
    </r>
    <r>
      <rPr>
        <b/>
        <sz val="10"/>
        <rFont val="Times New Roman"/>
        <family val="1"/>
      </rPr>
      <t>Government-Mandated &amp; Voluntary Nonexchange Transactions</t>
    </r>
    <r>
      <rPr>
        <sz val="10"/>
        <rFont val="Times New Roman"/>
        <family val="1"/>
      </rPr>
      <t>:   Resources providers transmit to recipients before time requirements are met, but after the other eligibility requirements have been met  
(</t>
    </r>
    <r>
      <rPr>
        <b/>
        <u/>
        <sz val="10"/>
        <rFont val="Times New Roman"/>
        <family val="1"/>
      </rPr>
      <t>GASBS No. 65</t>
    </r>
    <r>
      <rPr>
        <sz val="10"/>
        <rFont val="Times New Roman"/>
        <family val="1"/>
      </rPr>
      <t xml:space="preserve"> paragraphs 8 &amp; 10)</t>
    </r>
  </si>
  <si>
    <r>
      <t xml:space="preserve">1)  </t>
    </r>
    <r>
      <rPr>
        <b/>
        <sz val="10"/>
        <rFont val="Times New Roman"/>
        <family val="1"/>
      </rPr>
      <t>Government-Mandated &amp; Voluntary Nonexchange Transactions</t>
    </r>
    <r>
      <rPr>
        <sz val="10"/>
        <rFont val="Times New Roman"/>
        <family val="1"/>
      </rPr>
      <t xml:space="preserve"> - Resources received by recipients before time requirements are met, but after the other eligibility requirements have been met  
(</t>
    </r>
    <r>
      <rPr>
        <b/>
        <u/>
        <sz val="10"/>
        <rFont val="Times New Roman"/>
        <family val="1"/>
      </rPr>
      <t>GASBS No. 65</t>
    </r>
    <r>
      <rPr>
        <sz val="10"/>
        <rFont val="Times New Roman"/>
        <family val="1"/>
      </rPr>
      <t xml:space="preserve"> paragraphs 8 &amp; 10)</t>
    </r>
  </si>
  <si>
    <r>
      <t xml:space="preserve">4)  </t>
    </r>
    <r>
      <rPr>
        <b/>
        <sz val="10"/>
        <rFont val="Times New Roman"/>
        <family val="1"/>
      </rPr>
      <t>Revenue Recognition - Government Funds</t>
    </r>
    <r>
      <rPr>
        <sz val="10"/>
        <rFont val="Times New Roman"/>
        <family val="1"/>
      </rPr>
      <t xml:space="preserve"> - Unavailable revenues in governmental funds 
(</t>
    </r>
    <r>
      <rPr>
        <b/>
        <u/>
        <sz val="10"/>
        <rFont val="Times New Roman"/>
        <family val="1"/>
      </rPr>
      <t>GASBS No. 65</t>
    </r>
    <r>
      <rPr>
        <sz val="10"/>
        <rFont val="Times New Roman"/>
        <family val="1"/>
      </rPr>
      <t xml:space="preserve"> paragraph 30)</t>
    </r>
  </si>
  <si>
    <t>Provide the line item and the amounts of insurance recoveries:</t>
  </si>
  <si>
    <t>Cardinal Fund Amount is 
Due From</t>
  </si>
  <si>
    <t>Recorded on Cardinal?</t>
  </si>
  <si>
    <t>Cardinal Fund Amount is 
Due To</t>
  </si>
  <si>
    <t>If Known,
Cardinal Fund Amount is 
Due From</t>
  </si>
  <si>
    <t>If Known,
Cardinal Fund Amount is 
Due To</t>
  </si>
  <si>
    <t>10000</t>
  </si>
  <si>
    <t>10100</t>
  </si>
  <si>
    <t>10700</t>
  </si>
  <si>
    <t>10900</t>
  </si>
  <si>
    <t>12100</t>
  </si>
  <si>
    <t>12200</t>
  </si>
  <si>
    <t>12300</t>
  </si>
  <si>
    <t>12500</t>
  </si>
  <si>
    <t>12700</t>
  </si>
  <si>
    <t>12800</t>
  </si>
  <si>
    <t>12900</t>
  </si>
  <si>
    <t>WILSON WORKFORCE AND REHABILITATION CENTER</t>
  </si>
  <si>
    <r>
      <t xml:space="preserve">If </t>
    </r>
    <r>
      <rPr>
        <b/>
        <sz val="10"/>
        <rFont val="Times New Roman"/>
        <family val="1"/>
      </rPr>
      <t>yes,</t>
    </r>
    <r>
      <rPr>
        <sz val="10"/>
        <rFont val="Times New Roman"/>
        <family val="1"/>
      </rPr>
      <t xml:space="preserve"> then further explain below, including fair value and specific terms of the investments.</t>
    </r>
  </si>
  <si>
    <t>Investment Type</t>
  </si>
  <si>
    <t>-Investment derivative instrument - a) held primarily for the purpose of income or profit, and b) has a present service capacity based solely on its ability to generate cash</t>
  </si>
  <si>
    <t>If on Cardinal,
Specify Account</t>
  </si>
  <si>
    <r>
      <t xml:space="preserve">         </t>
    </r>
    <r>
      <rPr>
        <sz val="10"/>
        <rFont val="Times New Roman"/>
        <family val="1"/>
      </rPr>
      <t xml:space="preserve">  </t>
    </r>
    <r>
      <rPr>
        <b/>
        <u/>
        <sz val="10"/>
        <rFont val="Times New Roman"/>
        <family val="1"/>
      </rPr>
      <t>GASBS No. 72</t>
    </r>
    <r>
      <rPr>
        <sz val="10"/>
        <rFont val="Times New Roman"/>
        <family val="1"/>
      </rPr>
      <t xml:space="preserve">, </t>
    </r>
    <r>
      <rPr>
        <i/>
        <sz val="10"/>
        <rFont val="Times New Roman"/>
        <family val="1"/>
      </rPr>
      <t>Fair Value Measurement and Application</t>
    </r>
    <r>
      <rPr>
        <sz val="10"/>
        <rFont val="Times New Roman"/>
        <family val="1"/>
      </rPr>
      <t xml:space="preserve">, and </t>
    </r>
    <r>
      <rPr>
        <b/>
        <u/>
        <sz val="10"/>
        <rFont val="Times New Roman"/>
        <family val="1"/>
      </rPr>
      <t>GASBS No. 79</t>
    </r>
    <r>
      <rPr>
        <sz val="10"/>
        <rFont val="Times New Roman"/>
        <family val="1"/>
      </rPr>
      <t xml:space="preserve">, </t>
    </r>
    <r>
      <rPr>
        <i/>
        <sz val="10"/>
        <rFont val="Times New Roman"/>
        <family val="1"/>
      </rPr>
      <t>Certain External Investment Pools</t>
    </r>
  </si>
  <si>
    <r>
      <t xml:space="preserve">           </t>
    </r>
    <r>
      <rPr>
        <i/>
        <sz val="10"/>
        <rFont val="Times New Roman"/>
        <family val="1"/>
      </rPr>
      <t>and Pool Participants?</t>
    </r>
  </si>
  <si>
    <t>1h)</t>
  </si>
  <si>
    <t>Note C</t>
  </si>
  <si>
    <t>Significant other observable inputs
(Level 2)</t>
  </si>
  <si>
    <t>Significant unobservable inputs
(Level 3)</t>
  </si>
  <si>
    <t>General description and valuation technique used for items reported at fair value</t>
  </si>
  <si>
    <t>Quoted Prices in Active Markets for Identical Assets (Level 1)</t>
  </si>
  <si>
    <t>Total Fair Value                                $ Amount</t>
  </si>
  <si>
    <t>Significant Other Observable Inputs  (Level 2)</t>
  </si>
  <si>
    <t xml:space="preserve">            Total Nonnegotiable Certificates of Deposit (not held with the Treasurer of VA)</t>
  </si>
  <si>
    <t>a)  Reported amount included in:</t>
  </si>
  <si>
    <t>Is the sum of Cash Equivalents Not with the Treasurer of Virginia and Short-term Investments Not with the Treasurer of Virginia</t>
  </si>
  <si>
    <t>If yes to 12h, does the transferor determine or have the ability to modify or approve what services the fund (operator) provides, to whom the fund (operator) provides the services, and the rates charged for the services?</t>
  </si>
  <si>
    <t>6a</t>
  </si>
  <si>
    <t xml:space="preserve">     Cash Equivalents not held with the Treasurer of VA</t>
  </si>
  <si>
    <t xml:space="preserve">     Investments not held with the Treasurer of VA</t>
  </si>
  <si>
    <r>
      <t xml:space="preserve">            for Certain Investments and for External Investment Pools, </t>
    </r>
    <r>
      <rPr>
        <sz val="10"/>
        <rFont val="Times New Roman"/>
        <family val="1"/>
      </rPr>
      <t>as amended by</t>
    </r>
    <r>
      <rPr>
        <i/>
        <sz val="10"/>
        <rFont val="Times New Roman"/>
        <family val="1"/>
      </rPr>
      <t xml:space="preserve"> </t>
    </r>
    <r>
      <rPr>
        <b/>
        <u/>
        <sz val="10"/>
        <rFont val="Times New Roman"/>
        <family val="1"/>
      </rPr>
      <t>GASBS No. 59</t>
    </r>
    <r>
      <rPr>
        <b/>
        <sz val="10"/>
        <rFont val="Times New Roman"/>
        <family val="1"/>
      </rPr>
      <t xml:space="preserve">, </t>
    </r>
    <r>
      <rPr>
        <i/>
        <sz val="10"/>
        <rFont val="Times New Roman"/>
        <family val="1"/>
      </rPr>
      <t>Financial Instruments Omnibus,</t>
    </r>
  </si>
  <si>
    <r>
      <t>Part 2)  For any "</t>
    </r>
    <r>
      <rPr>
        <b/>
        <sz val="11"/>
        <rFont val="Times New Roman"/>
        <family val="1"/>
      </rPr>
      <t>no</t>
    </r>
    <r>
      <rPr>
        <sz val="11"/>
        <rFont val="Times New Roman"/>
        <family val="1"/>
      </rPr>
      <t>" answers provided in Parts 1b to 1f, are amounts reported at fair value rather than amortized cost?</t>
    </r>
  </si>
  <si>
    <r>
      <t xml:space="preserve">            If </t>
    </r>
    <r>
      <rPr>
        <b/>
        <sz val="11"/>
        <rFont val="Times New Roman"/>
        <family val="1"/>
      </rPr>
      <t>no</t>
    </r>
    <r>
      <rPr>
        <sz val="11"/>
        <rFont val="Times New Roman"/>
        <family val="1"/>
      </rPr>
      <t>, provide an explanation below.</t>
    </r>
  </si>
  <si>
    <t>Note A</t>
  </si>
  <si>
    <t>Note B</t>
  </si>
  <si>
    <t>If yes to 12b, does the fund (transferor) determine or have the ability to modify or approve what services the operator provides, to whom the operator provides the services, and the rates charged for the services?</t>
  </si>
  <si>
    <t>Total fair value amount</t>
  </si>
  <si>
    <t>Difference</t>
  </si>
  <si>
    <t>(Linked)</t>
  </si>
  <si>
    <t>Total fair value amount using net asset value per share (or its equivalent)</t>
  </si>
  <si>
    <r>
      <t xml:space="preserve">If </t>
    </r>
    <r>
      <rPr>
        <b/>
        <sz val="10"/>
        <rFont val="Times New Roman"/>
        <family val="1"/>
      </rPr>
      <t>yes</t>
    </r>
    <r>
      <rPr>
        <sz val="10"/>
        <rFont val="Times New Roman"/>
        <family val="1"/>
      </rPr>
      <t>, provide a general description of these types of items.</t>
    </r>
  </si>
  <si>
    <t>Agy No</t>
  </si>
  <si>
    <t>Control Agency</t>
  </si>
  <si>
    <t>JOINT LEGISLATIVE AUDIT AND REVIEW COMMISSION</t>
  </si>
  <si>
    <t>Danielle Roache</t>
  </si>
  <si>
    <t>Kevin Hill</t>
  </si>
  <si>
    <t>DEPARTMENT OF HOUSING AND COMMUNITY DEVELOPMENT</t>
  </si>
  <si>
    <t>DEPARTMENT OF PROFESSIONAL AND OCCUPATIONAL REGULATION</t>
  </si>
  <si>
    <t>DEPARTMENT FOR AGING AND REHABILITATIVE SERVICES</t>
  </si>
  <si>
    <t>DEPARTMENT OF AGRICULTURE AND CONSUMER SERVICES</t>
  </si>
  <si>
    <t>DEPARTMENT OF SMALL BUSINESS AND SUPPLIER DIVERSITY</t>
  </si>
  <si>
    <t>DEPARTMENT FOR THE BLIND AND VISION IMPAIRED</t>
  </si>
  <si>
    <t>DEPARTMENT FOR THE DEAF AND HARD-OF-HEARING</t>
  </si>
  <si>
    <t>VIRGINIA CONFLICT OF INTEREST AND ETHICS ADVISORY COUNCIL</t>
  </si>
  <si>
    <t>HIGHER EDUCATION RESEARCH INITIATIVE</t>
  </si>
  <si>
    <t>List below the business unit number and fund codes per Cardinal that are included in the Governmental Fund Template.</t>
  </si>
  <si>
    <r>
      <t xml:space="preserve">If </t>
    </r>
    <r>
      <rPr>
        <b/>
        <sz val="10"/>
        <rFont val="Times New Roman"/>
        <family val="1"/>
      </rPr>
      <t>no</t>
    </r>
    <r>
      <rPr>
        <sz val="10"/>
        <rFont val="Times New Roman"/>
        <family val="1"/>
      </rPr>
      <t>, then provide the reason(s) for the nonrecurring fair value measurements below.</t>
    </r>
  </si>
  <si>
    <r>
      <t xml:space="preserve">If </t>
    </r>
    <r>
      <rPr>
        <b/>
        <sz val="10"/>
        <rFont val="Times New Roman"/>
        <family val="1"/>
      </rPr>
      <t>yes</t>
    </r>
    <r>
      <rPr>
        <sz val="10"/>
        <rFont val="Times New Roman"/>
        <family val="1"/>
      </rPr>
      <t>, then provide the change and reason(s) for making the change below.</t>
    </r>
  </si>
  <si>
    <t>Fully benefit-responsive synthetic guaranteed investment contracts</t>
  </si>
  <si>
    <r>
      <t xml:space="preserve">Contract value in accordance with </t>
    </r>
    <r>
      <rPr>
        <b/>
        <u/>
        <sz val="10"/>
        <rFont val="Times New Roman"/>
        <family val="1"/>
      </rPr>
      <t xml:space="preserve">GASBS No. 53 </t>
    </r>
  </si>
  <si>
    <t>1i)</t>
  </si>
  <si>
    <t>1j)</t>
  </si>
  <si>
    <t>Investments in life insurance contracts</t>
  </si>
  <si>
    <t>Cash surrender value</t>
  </si>
  <si>
    <t>Note D1</t>
  </si>
  <si>
    <t>Note D</t>
  </si>
  <si>
    <t xml:space="preserve">Investments in certain entities that calculate the Net Asset Value per Share (or its equivalent) </t>
  </si>
  <si>
    <r>
      <t xml:space="preserve">Fair value established using Net Asset Value Per Share (or its equivalent) in accordance with </t>
    </r>
    <r>
      <rPr>
        <b/>
        <u/>
        <sz val="10"/>
        <rFont val="Times New Roman"/>
        <family val="1"/>
      </rPr>
      <t>GASBS No. 72</t>
    </r>
  </si>
  <si>
    <r>
      <t>Note</t>
    </r>
    <r>
      <rPr>
        <b/>
        <sz val="10"/>
        <rFont val="Times New Roman"/>
        <family val="1"/>
      </rPr>
      <t>:</t>
    </r>
    <r>
      <rPr>
        <sz val="10"/>
        <rFont val="Times New Roman"/>
        <family val="1"/>
      </rPr>
      <t xml:space="preserve">  For the accurate reporting of all the applicable cash equivalents and investments in Part 1 above, consider how they are </t>
    </r>
  </si>
  <si>
    <r>
      <t xml:space="preserve">being reported on the Tab 1B-CE &amp; Inv Not W Treas for fair value measurement purposes in accordance with </t>
    </r>
    <r>
      <rPr>
        <b/>
        <u/>
        <sz val="10"/>
        <rFont val="Times New Roman"/>
        <family val="1"/>
      </rPr>
      <t>GASBS No. 72</t>
    </r>
    <r>
      <rPr>
        <sz val="10"/>
        <rFont val="Times New Roman"/>
        <family val="1"/>
      </rPr>
      <t xml:space="preserve">. </t>
    </r>
  </si>
  <si>
    <r>
      <t xml:space="preserve">paragraphs 71 to 74  and require additional disclosures in accordance with </t>
    </r>
    <r>
      <rPr>
        <b/>
        <u/>
        <sz val="10"/>
        <rFont val="Times New Roman"/>
        <family val="1"/>
      </rPr>
      <t>GASBS No. 72</t>
    </r>
    <r>
      <rPr>
        <sz val="10"/>
        <rFont val="Times New Roman"/>
        <family val="1"/>
      </rPr>
      <t xml:space="preserve"> paragraph 82. These items should be reported</t>
    </r>
  </si>
  <si>
    <t xml:space="preserve">Briefly explain agency's investment policy related to foreign deposit or investment below. If the agency does have investments denominated in a foreign currency and DOES NOT have an investment policy, please provide an explanation below. This may be provided in a separate document accompanying this attachment.  </t>
  </si>
  <si>
    <t>Supranational and Non-U.S. Government Bonds and Notes</t>
  </si>
  <si>
    <t>Fund</t>
  </si>
  <si>
    <t>Fund Name</t>
  </si>
  <si>
    <t>List the SNAP account numbers, amounts, and any applicable Cardinal Account and Fund.</t>
  </si>
  <si>
    <t>Fund (Text)</t>
  </si>
  <si>
    <t>Fund (numeric)</t>
  </si>
  <si>
    <t>01000</t>
  </si>
  <si>
    <t>General Fund</t>
  </si>
  <si>
    <t>02001</t>
  </si>
  <si>
    <t>SUPCT Special Revenue Fund</t>
  </si>
  <si>
    <t>02002</t>
  </si>
  <si>
    <t>VCSC Special Revenue Fund</t>
  </si>
  <si>
    <t>02003</t>
  </si>
  <si>
    <t>DBHDS Special Revenue Fund</t>
  </si>
  <si>
    <t>02004</t>
  </si>
  <si>
    <t>Comm on Civics Education Fund</t>
  </si>
  <si>
    <t>02005</t>
  </si>
  <si>
    <t>Tax Special Revenue Fund</t>
  </si>
  <si>
    <t>02010</t>
  </si>
  <si>
    <t>Garnishment/Child Support Fees</t>
  </si>
  <si>
    <t>02011</t>
  </si>
  <si>
    <t>DOA Statewide Accounting Svcs</t>
  </si>
  <si>
    <t>02012</t>
  </si>
  <si>
    <t>Firearms Transaction Program</t>
  </si>
  <si>
    <t>02013</t>
  </si>
  <si>
    <t>VA Farmland Preservation Fund</t>
  </si>
  <si>
    <t>02020</t>
  </si>
  <si>
    <t>Local Health Dist - Addtl Rev</t>
  </si>
  <si>
    <t>02021</t>
  </si>
  <si>
    <t>BOA Trust Fund</t>
  </si>
  <si>
    <t>02022</t>
  </si>
  <si>
    <t>Cntrl Rgstry Srch Fees-Non-Fed</t>
  </si>
  <si>
    <t>02023</t>
  </si>
  <si>
    <t>State Primary Fee Fund</t>
  </si>
  <si>
    <t>02024</t>
  </si>
  <si>
    <t>Training &amp; Forms Recovery Fund</t>
  </si>
  <si>
    <t>02030</t>
  </si>
  <si>
    <t>Bed And Upholstery Sanitation</t>
  </si>
  <si>
    <t>02031</t>
  </si>
  <si>
    <t>Medicaid Fraud Control Unit</t>
  </si>
  <si>
    <t>02032</t>
  </si>
  <si>
    <t>Tuition Assistance Grant Fund</t>
  </si>
  <si>
    <t>02033</t>
  </si>
  <si>
    <t>Civil War Site Preservation Fd</t>
  </si>
  <si>
    <t>02040</t>
  </si>
  <si>
    <t>Open-Space Preservation Fund</t>
  </si>
  <si>
    <t>02041</t>
  </si>
  <si>
    <t>Local Health District Mtch Rev</t>
  </si>
  <si>
    <t>02042</t>
  </si>
  <si>
    <t>Nurse Scholarship Fund</t>
  </si>
  <si>
    <t>02043</t>
  </si>
  <si>
    <t>Background Search Fees</t>
  </si>
  <si>
    <t>02044</t>
  </si>
  <si>
    <t>State/Local Hospitalization</t>
  </si>
  <si>
    <t>02050</t>
  </si>
  <si>
    <t>Local Health District Srvc Fee</t>
  </si>
  <si>
    <t>02051</t>
  </si>
  <si>
    <t>Semiconductor Mem/Logic Wafer</t>
  </si>
  <si>
    <t>02052</t>
  </si>
  <si>
    <t>Probation &amp; Parole Officers Fd</t>
  </si>
  <si>
    <t>02055</t>
  </si>
  <si>
    <t>Electronic Maintenance Fund</t>
  </si>
  <si>
    <t>02060</t>
  </si>
  <si>
    <t>Statewide Contract Vndr Rebate</t>
  </si>
  <si>
    <t>02061</t>
  </si>
  <si>
    <t>Non-Federal 10% Admin Fee Fund</t>
  </si>
  <si>
    <t>02062</t>
  </si>
  <si>
    <t>Voluntary Solar Resource Dev</t>
  </si>
  <si>
    <t>02063</t>
  </si>
  <si>
    <t>Anatomical Services-Bodies</t>
  </si>
  <si>
    <t>02070</t>
  </si>
  <si>
    <t>Distance Learning Reciprocity</t>
  </si>
  <si>
    <t>02072</t>
  </si>
  <si>
    <t>VA WW I &amp; II Commrtn Commssn</t>
  </si>
  <si>
    <t>02080</t>
  </si>
  <si>
    <t>SCC Pub Service Co Fee And Tax</t>
  </si>
  <si>
    <t>02081</t>
  </si>
  <si>
    <t>Non-Tax Collection Servs Fund</t>
  </si>
  <si>
    <t>02083</t>
  </si>
  <si>
    <t>3rd Party Withholding Suspense</t>
  </si>
  <si>
    <t>02090</t>
  </si>
  <si>
    <t>SCC Ins Fees &amp; Assessments</t>
  </si>
  <si>
    <t>02100</t>
  </si>
  <si>
    <t>SCC Banking Fees</t>
  </si>
  <si>
    <t>02101</t>
  </si>
  <si>
    <t>Acquisition Services Spec Fund</t>
  </si>
  <si>
    <t>02102</t>
  </si>
  <si>
    <t>Local ASAP Deficit Funding</t>
  </si>
  <si>
    <t>02103</t>
  </si>
  <si>
    <t>Med-Flight Operations</t>
  </si>
  <si>
    <t>02104</t>
  </si>
  <si>
    <t>Nursing Facility Sanctions</t>
  </si>
  <si>
    <t>02107</t>
  </si>
  <si>
    <t>DLS Special Revenue Fund</t>
  </si>
  <si>
    <t>02108</t>
  </si>
  <si>
    <t>Code Commission Spec Rev Fund</t>
  </si>
  <si>
    <t>02109</t>
  </si>
  <si>
    <t>Legis Automated Systems Fund</t>
  </si>
  <si>
    <t>02110</t>
  </si>
  <si>
    <t>Private Grant And Contract Rev</t>
  </si>
  <si>
    <t>02111</t>
  </si>
  <si>
    <t>Charge Card Rebate Fund</t>
  </si>
  <si>
    <t>02113</t>
  </si>
  <si>
    <t>CCV Special Revenue Fund</t>
  </si>
  <si>
    <t>02120</t>
  </si>
  <si>
    <t>Motor Vehicle Dealer Board</t>
  </si>
  <si>
    <t>02122</t>
  </si>
  <si>
    <t>DPB Special Revenue Fund</t>
  </si>
  <si>
    <t>02123</t>
  </si>
  <si>
    <t>DMA Special Revenue Fund</t>
  </si>
  <si>
    <t>02124</t>
  </si>
  <si>
    <t>Forest Mgmt State Owned Lands</t>
  </si>
  <si>
    <t>02125</t>
  </si>
  <si>
    <t>Aerospace Engn Manf Wrkfc Grnt</t>
  </si>
  <si>
    <t>02127</t>
  </si>
  <si>
    <t>VDEM Special Revenue Fund</t>
  </si>
  <si>
    <t>02128</t>
  </si>
  <si>
    <t>VA Veterans Care Cntr Spec Rev</t>
  </si>
  <si>
    <t>02129</t>
  </si>
  <si>
    <t>DHRM Special Revenue Fund</t>
  </si>
  <si>
    <t>02130</t>
  </si>
  <si>
    <t>Special Emergency Medical Srvc</t>
  </si>
  <si>
    <t>02131</t>
  </si>
  <si>
    <t>Cameron Foundation Grant Fund</t>
  </si>
  <si>
    <t>02132</t>
  </si>
  <si>
    <t>SBE Special Revenue Fund</t>
  </si>
  <si>
    <t>02133</t>
  </si>
  <si>
    <t>APA Special Revenue Fund</t>
  </si>
  <si>
    <t>02140</t>
  </si>
  <si>
    <t>DCJS Special Revenue Fund</t>
  </si>
  <si>
    <t>02141</t>
  </si>
  <si>
    <t>OAG Special Revenue Fund</t>
  </si>
  <si>
    <t>02142</t>
  </si>
  <si>
    <t>Forfeited Bond Fund</t>
  </si>
  <si>
    <t>02143</t>
  </si>
  <si>
    <t>DDC Special Revenue Fund</t>
  </si>
  <si>
    <t>02144</t>
  </si>
  <si>
    <t>Contract Collector Fund</t>
  </si>
  <si>
    <t>02145</t>
  </si>
  <si>
    <t>Data Lines Fund</t>
  </si>
  <si>
    <t>02146</t>
  </si>
  <si>
    <t>SMV Special Revenue Fund</t>
  </si>
  <si>
    <t>02147</t>
  </si>
  <si>
    <t>OSIG Special Revenue Fund</t>
  </si>
  <si>
    <t>02148</t>
  </si>
  <si>
    <t>VCA Special Revenue Fund</t>
  </si>
  <si>
    <t>02149</t>
  </si>
  <si>
    <t>Voluntary Remediation Fund</t>
  </si>
  <si>
    <t>02150</t>
  </si>
  <si>
    <t>Automtn Of Vital Records Vault</t>
  </si>
  <si>
    <t>02151</t>
  </si>
  <si>
    <t>Radiolgcl Emrgcy Preprdness Fd</t>
  </si>
  <si>
    <t>02152</t>
  </si>
  <si>
    <t>TD Special Revenue Fund</t>
  </si>
  <si>
    <t>02153</t>
  </si>
  <si>
    <t>Natural Area Preservation Fund</t>
  </si>
  <si>
    <t>02154</t>
  </si>
  <si>
    <t>DMV Special Revenue Fund</t>
  </si>
  <si>
    <t>02155</t>
  </si>
  <si>
    <t>TB Special Revenue Fund</t>
  </si>
  <si>
    <t>02156</t>
  </si>
  <si>
    <t>VSP Special Revenue Fund</t>
  </si>
  <si>
    <t>02157</t>
  </si>
  <si>
    <t>Beehive Grant Fund</t>
  </si>
  <si>
    <t>02159</t>
  </si>
  <si>
    <t>SWAM Owned Business Loan Fund</t>
  </si>
  <si>
    <t>02160</t>
  </si>
  <si>
    <t>Locality Budget Redctn 2009-10</t>
  </si>
  <si>
    <t>02164</t>
  </si>
  <si>
    <t>Land Preservation Fund</t>
  </si>
  <si>
    <t>02165</t>
  </si>
  <si>
    <t>DHCD Special Revenue Fund</t>
  </si>
  <si>
    <t>02167</t>
  </si>
  <si>
    <t>Aerospace Engine Manufacturing</t>
  </si>
  <si>
    <t>02169</t>
  </si>
  <si>
    <t>Capital Asset Procurement Fund</t>
  </si>
  <si>
    <t>02170</t>
  </si>
  <si>
    <t>Onsite Sewage Indemnification</t>
  </si>
  <si>
    <t>02171</t>
  </si>
  <si>
    <t>SCC Special Revenue Fund</t>
  </si>
  <si>
    <t>02173</t>
  </si>
  <si>
    <t>SCC-Clerks Office Registration</t>
  </si>
  <si>
    <t>02176</t>
  </si>
  <si>
    <t>VA Winegrowers' Productivity</t>
  </si>
  <si>
    <t>02180</t>
  </si>
  <si>
    <t>Fire Programs Fund</t>
  </si>
  <si>
    <t>02181</t>
  </si>
  <si>
    <t>DOLI Special Revenue Fund</t>
  </si>
  <si>
    <t>02182</t>
  </si>
  <si>
    <t>VEC Special Revenue Fund</t>
  </si>
  <si>
    <t>02183</t>
  </si>
  <si>
    <t>Permit Fees Fund</t>
  </si>
  <si>
    <t>02187</t>
  </si>
  <si>
    <t>02188</t>
  </si>
  <si>
    <t>Sec HHR Special Revenue Fund</t>
  </si>
  <si>
    <t>02190</t>
  </si>
  <si>
    <t>Inmate Culinary Arts Train Fd</t>
  </si>
  <si>
    <t>02192</t>
  </si>
  <si>
    <t>Onsite Oprtn And Maintenance</t>
  </si>
  <si>
    <t>02194</t>
  </si>
  <si>
    <t>DGS Special Revenue Fund</t>
  </si>
  <si>
    <t>02195</t>
  </si>
  <si>
    <t>Dejarnette Lease Proceeds Fund</t>
  </si>
  <si>
    <t>02197</t>
  </si>
  <si>
    <t>DOE/DAPE Special Revenue Fund</t>
  </si>
  <si>
    <t>02199</t>
  </si>
  <si>
    <t>DCR Special Revenue Fund</t>
  </si>
  <si>
    <t>02200</t>
  </si>
  <si>
    <t>Concealed Weapons Program</t>
  </si>
  <si>
    <t>02201</t>
  </si>
  <si>
    <t>DOE/COO Special Revenue Fund</t>
  </si>
  <si>
    <t>02202</t>
  </si>
  <si>
    <t>LVA Special Revenue Fund</t>
  </si>
  <si>
    <t>02203</t>
  </si>
  <si>
    <t>WWRC Special Revenue Fund</t>
  </si>
  <si>
    <t>02204</t>
  </si>
  <si>
    <t>Virginia Breeders Fund</t>
  </si>
  <si>
    <t>02205</t>
  </si>
  <si>
    <t>SCC Administrative Clearing</t>
  </si>
  <si>
    <t>02206</t>
  </si>
  <si>
    <t>VCBA Prvt Colleg Financing Fee</t>
  </si>
  <si>
    <t>02207</t>
  </si>
  <si>
    <t>Medicaid Intrgvrnmntl Transfer</t>
  </si>
  <si>
    <t>02210</t>
  </si>
  <si>
    <t>Asset Forfeiture And Seizure</t>
  </si>
  <si>
    <t>02211</t>
  </si>
  <si>
    <t>State Police Sales Mtr Vehicle</t>
  </si>
  <si>
    <t>02215</t>
  </si>
  <si>
    <t>UMW Special Revenue Fund</t>
  </si>
  <si>
    <t>02218</t>
  </si>
  <si>
    <t>VSDB Special Revenue Fund</t>
  </si>
  <si>
    <t>02222</t>
  </si>
  <si>
    <t>DPOR Special Revenue Fund</t>
  </si>
  <si>
    <t>02230</t>
  </si>
  <si>
    <t>Motor Vehicle Rental Tax Undst</t>
  </si>
  <si>
    <t>02231</t>
  </si>
  <si>
    <t>Pub Oyster Rocks Replenishment</t>
  </si>
  <si>
    <t>02233</t>
  </si>
  <si>
    <t>VBBE Special Revenue Fund</t>
  </si>
  <si>
    <t>02235</t>
  </si>
  <si>
    <t>Breast &amp; Cervical Cancer P&amp;T</t>
  </si>
  <si>
    <t>02238</t>
  </si>
  <si>
    <t>VMFA Special Revenue Fund</t>
  </si>
  <si>
    <t>02239</t>
  </si>
  <si>
    <t>FCM Special Revenue Fund</t>
  </si>
  <si>
    <t>02240</t>
  </si>
  <si>
    <t>Virginia Disaster Response</t>
  </si>
  <si>
    <t>02245</t>
  </si>
  <si>
    <t>SCHEV Special Revenue Fund</t>
  </si>
  <si>
    <t>02250</t>
  </si>
  <si>
    <t>Community Policing Fund</t>
  </si>
  <si>
    <t>02251</t>
  </si>
  <si>
    <t>HEAT 0225</t>
  </si>
  <si>
    <t>02260</t>
  </si>
  <si>
    <t>Child Restraint Device Pnlties</t>
  </si>
  <si>
    <t>02261</t>
  </si>
  <si>
    <t>Wash Bldg Reno &amp; Litigation</t>
  </si>
  <si>
    <t>02262</t>
  </si>
  <si>
    <t>DARS Special Revenue Fund</t>
  </si>
  <si>
    <t>02263</t>
  </si>
  <si>
    <t>VRCBVI Special Revenue Fund</t>
  </si>
  <si>
    <t>02264</t>
  </si>
  <si>
    <t>Waste Kitchen Grease Fund</t>
  </si>
  <si>
    <t>02270</t>
  </si>
  <si>
    <t>Sex Offender Registry Fund</t>
  </si>
  <si>
    <t>02271</t>
  </si>
  <si>
    <t>Human Resource Service Ctr Fd</t>
  </si>
  <si>
    <t>02280</t>
  </si>
  <si>
    <t>State Racing Operations Fund</t>
  </si>
  <si>
    <t>02281</t>
  </si>
  <si>
    <t>Purdue Fred Co Fd Asst Forfeit</t>
  </si>
  <si>
    <t>02282</t>
  </si>
  <si>
    <t>Prcds Of Specific Income Lease</t>
  </si>
  <si>
    <t>02290</t>
  </si>
  <si>
    <t>Federal Asset Forfeiture Fund</t>
  </si>
  <si>
    <t>02300</t>
  </si>
  <si>
    <t>Corrections Special Reserve Fd</t>
  </si>
  <si>
    <t>02301</t>
  </si>
  <si>
    <t>VDACS Special Revenue Fund</t>
  </si>
  <si>
    <t>02310</t>
  </si>
  <si>
    <t>Court Debts Collection Program</t>
  </si>
  <si>
    <t>02312</t>
  </si>
  <si>
    <t>Marine Patrols Fund</t>
  </si>
  <si>
    <t>02313</t>
  </si>
  <si>
    <t>SCC</t>
  </si>
  <si>
    <t>02314</t>
  </si>
  <si>
    <t>Env Health Ed &amp; Training Fund</t>
  </si>
  <si>
    <t>02315</t>
  </si>
  <si>
    <t>Commonwealths Attorny Training</t>
  </si>
  <si>
    <t>02320</t>
  </si>
  <si>
    <t>Corr Construction Unit Special</t>
  </si>
  <si>
    <t>02321</t>
  </si>
  <si>
    <t>Fish Killing Investigation</t>
  </si>
  <si>
    <t>02322</t>
  </si>
  <si>
    <t>Improve Commercial&amp;Sport Fish</t>
  </si>
  <si>
    <t>02330</t>
  </si>
  <si>
    <t>Virginia Israel Advisory Fund</t>
  </si>
  <si>
    <t>02331</t>
  </si>
  <si>
    <t>State Asset Forfeiture</t>
  </si>
  <si>
    <t>02340</t>
  </si>
  <si>
    <t>Reforestation Incentives Fund</t>
  </si>
  <si>
    <t>02350</t>
  </si>
  <si>
    <t>SBD Special Revenue Fund</t>
  </si>
  <si>
    <t>02351</t>
  </si>
  <si>
    <t>CVC Program Fund</t>
  </si>
  <si>
    <t>02352</t>
  </si>
  <si>
    <t>Forest Products Protect &amp; Dev</t>
  </si>
  <si>
    <t>02353</t>
  </si>
  <si>
    <t>DCSE Matched Incentive Funds</t>
  </si>
  <si>
    <t>02354</t>
  </si>
  <si>
    <t>Legal Aid Services Fund</t>
  </si>
  <si>
    <t>02360</t>
  </si>
  <si>
    <t>Drug Invstgtn Trust Acct - Fed</t>
  </si>
  <si>
    <t>02370</t>
  </si>
  <si>
    <t>DCSE Non Matchd Incentive Fund</t>
  </si>
  <si>
    <t>02371</t>
  </si>
  <si>
    <t>VA Guaranteed Assistance Fund</t>
  </si>
  <si>
    <t>02390</t>
  </si>
  <si>
    <t>DCSE Child Support Enforcement</t>
  </si>
  <si>
    <t>02395</t>
  </si>
  <si>
    <t>Reg &amp; Cnsmr Advocacy Rvlv Trst</t>
  </si>
  <si>
    <t>02400</t>
  </si>
  <si>
    <t>Virginia Public Safety Fund</t>
  </si>
  <si>
    <t>02402</t>
  </si>
  <si>
    <t>MRC Special Revenue Fund</t>
  </si>
  <si>
    <t>02403</t>
  </si>
  <si>
    <t>DGIF Special Revenue Fund</t>
  </si>
  <si>
    <t>02405</t>
  </si>
  <si>
    <t>VRC Special Revenue Fund</t>
  </si>
  <si>
    <t>02407</t>
  </si>
  <si>
    <t>VPA Special Revenue Fund</t>
  </si>
  <si>
    <t>02409</t>
  </si>
  <si>
    <t>DMME Special Revenue Fund</t>
  </si>
  <si>
    <t>02410</t>
  </si>
  <si>
    <t>Open Space Rec And Conservatn</t>
  </si>
  <si>
    <t>02411</t>
  </si>
  <si>
    <t>DOF Special Revenue Fund</t>
  </si>
  <si>
    <t>02413</t>
  </si>
  <si>
    <t>VASAP Special Revenue Fund</t>
  </si>
  <si>
    <t>02417</t>
  </si>
  <si>
    <t>Gunston Hall Special Rev Fund</t>
  </si>
  <si>
    <t>02420</t>
  </si>
  <si>
    <t>Indigent Health Care</t>
  </si>
  <si>
    <t>02421</t>
  </si>
  <si>
    <t>Dulles Greenway Funds</t>
  </si>
  <si>
    <t>02423</t>
  </si>
  <si>
    <t>DHR Special Revenue Fund</t>
  </si>
  <si>
    <t>02425</t>
  </si>
  <si>
    <t>JYF Special Revenue Fund</t>
  </si>
  <si>
    <t>02430</t>
  </si>
  <si>
    <t>EDA-Title IX Grant</t>
  </si>
  <si>
    <t>02440</t>
  </si>
  <si>
    <t>DEQ Special Revenue Fund</t>
  </si>
  <si>
    <t>02441</t>
  </si>
  <si>
    <t>Model Jury Instructions</t>
  </si>
  <si>
    <t>02442</t>
  </si>
  <si>
    <t>School Efficiency Review Fund</t>
  </si>
  <si>
    <t>02450</t>
  </si>
  <si>
    <t>Hazardous Waste Mgmt Permit</t>
  </si>
  <si>
    <t>02451</t>
  </si>
  <si>
    <t>Small Business Investmnt Grant</t>
  </si>
  <si>
    <t>02452</t>
  </si>
  <si>
    <t>Tax Amnesty Recovery Fund</t>
  </si>
  <si>
    <t>02455</t>
  </si>
  <si>
    <t>Marine Fishing Improvement Fd</t>
  </si>
  <si>
    <t>02460</t>
  </si>
  <si>
    <t>Disaster Recovery Fund</t>
  </si>
  <si>
    <t>02470</t>
  </si>
  <si>
    <t>Mine Rescue Fund</t>
  </si>
  <si>
    <t>02480</t>
  </si>
  <si>
    <t>Waterworks Tchnical Assistance</t>
  </si>
  <si>
    <t>02490</t>
  </si>
  <si>
    <t>VA Saltwater Recreational Fish</t>
  </si>
  <si>
    <t>02500</t>
  </si>
  <si>
    <t>Employee Dispute Resolution Fd</t>
  </si>
  <si>
    <t>02504</t>
  </si>
  <si>
    <t>Laboratory Services</t>
  </si>
  <si>
    <t>02505</t>
  </si>
  <si>
    <t>DRPT Special Revenue Fund</t>
  </si>
  <si>
    <t>02507</t>
  </si>
  <si>
    <t>Insurance Fraud Fund - VSP</t>
  </si>
  <si>
    <t>02510</t>
  </si>
  <si>
    <t>Voluntary Contribution Admin</t>
  </si>
  <si>
    <t>02515</t>
  </si>
  <si>
    <t>Nurseries Fund</t>
  </si>
  <si>
    <t>02520</t>
  </si>
  <si>
    <t>Chesapeake Bay Restoration</t>
  </si>
  <si>
    <t>02530</t>
  </si>
  <si>
    <t>Drug Investigatn Trust Acct-St</t>
  </si>
  <si>
    <t>02540</t>
  </si>
  <si>
    <t>Pro Hac Vice Fund</t>
  </si>
  <si>
    <t>02550</t>
  </si>
  <si>
    <t>Contract Prisoners Spec Rev Fd</t>
  </si>
  <si>
    <t>02570</t>
  </si>
  <si>
    <t>Overhead &amp; Warranty Acct Fund</t>
  </si>
  <si>
    <t>02580</t>
  </si>
  <si>
    <t>Operator Training</t>
  </si>
  <si>
    <t>02590</t>
  </si>
  <si>
    <t>Common Interest Community Mgmt</t>
  </si>
  <si>
    <t>02600</t>
  </si>
  <si>
    <t>State Surplus Proprty Suspense</t>
  </si>
  <si>
    <t>02601</t>
  </si>
  <si>
    <t>VDH Special Revenue Fund</t>
  </si>
  <si>
    <t>02602</t>
  </si>
  <si>
    <t>DMAS Special Revenue Fund</t>
  </si>
  <si>
    <t>02610</t>
  </si>
  <si>
    <t>Safety Fund</t>
  </si>
  <si>
    <t>02615</t>
  </si>
  <si>
    <t>VA Bus Opp Prog &amp; Public Proc</t>
  </si>
  <si>
    <t>02620</t>
  </si>
  <si>
    <t>State Surplus Ppty - Reversion</t>
  </si>
  <si>
    <t>02630</t>
  </si>
  <si>
    <t>St Park Conservation Resources</t>
  </si>
  <si>
    <t>02640</t>
  </si>
  <si>
    <t>State Forest Fund</t>
  </si>
  <si>
    <t>02650</t>
  </si>
  <si>
    <t>State Park Acquisition And Dev</t>
  </si>
  <si>
    <t>02651</t>
  </si>
  <si>
    <t>Forfeited Asset Sharing Prgm</t>
  </si>
  <si>
    <t>02660</t>
  </si>
  <si>
    <t>DOH Funds For CCRE</t>
  </si>
  <si>
    <t>02661</t>
  </si>
  <si>
    <t>State Park Projects Fund</t>
  </si>
  <si>
    <t>02670</t>
  </si>
  <si>
    <t>Abusive Drivers Fees</t>
  </si>
  <si>
    <t>02671</t>
  </si>
  <si>
    <t>Refund Suspense Fund</t>
  </si>
  <si>
    <t>02680</t>
  </si>
  <si>
    <t>Comprehensive Permitting Fund</t>
  </si>
  <si>
    <t>02685</t>
  </si>
  <si>
    <t>Outstanding Faculty Recog Fund</t>
  </si>
  <si>
    <t>02687</t>
  </si>
  <si>
    <t>CommEconomicOppVAAspDivComm</t>
  </si>
  <si>
    <t>02690</t>
  </si>
  <si>
    <t>Additional Registration Fee</t>
  </si>
  <si>
    <t>02700</t>
  </si>
  <si>
    <t>Parking</t>
  </si>
  <si>
    <t>02701</t>
  </si>
  <si>
    <t>DOC-CO Special Revenue Fund</t>
  </si>
  <si>
    <t>02702</t>
  </si>
  <si>
    <t>DBVI Special Revenue Fund</t>
  </si>
  <si>
    <t>02703</t>
  </si>
  <si>
    <t>Parking - Lottery</t>
  </si>
  <si>
    <t>02704</t>
  </si>
  <si>
    <t>Parking - VCCS/CO</t>
  </si>
  <si>
    <t>02710</t>
  </si>
  <si>
    <t>Central Garage Pool Vehicles</t>
  </si>
  <si>
    <t>02711</t>
  </si>
  <si>
    <t>DOC/CE Special Revenue Fund</t>
  </si>
  <si>
    <t>02713</t>
  </si>
  <si>
    <t>State Central Garage Pool VCCS</t>
  </si>
  <si>
    <t>02720</t>
  </si>
  <si>
    <t>Procurement And Distrbtn Srvcs</t>
  </si>
  <si>
    <t>02730</t>
  </si>
  <si>
    <t>Licensing Application Fees</t>
  </si>
  <si>
    <t>02750</t>
  </si>
  <si>
    <t>Public-Private Educ Act Fund</t>
  </si>
  <si>
    <t>02751</t>
  </si>
  <si>
    <t>VDDHH Special Revenue Fund</t>
  </si>
  <si>
    <t>02753</t>
  </si>
  <si>
    <t>Cafeteria Fund</t>
  </si>
  <si>
    <t>02754</t>
  </si>
  <si>
    <t>Public-Private Ed Act</t>
  </si>
  <si>
    <t>02756</t>
  </si>
  <si>
    <t>DOC-DI Special Revenue Fund</t>
  </si>
  <si>
    <t>02765</t>
  </si>
  <si>
    <t>Miscellaneous Revenue - DSS</t>
  </si>
  <si>
    <t>02767</t>
  </si>
  <si>
    <t>DOC-DCC Special Revenue Fund</t>
  </si>
  <si>
    <t>02770</t>
  </si>
  <si>
    <t>Emergency Mgmnt Assist Compact</t>
  </si>
  <si>
    <t>02774</t>
  </si>
  <si>
    <t>Lunenburg Special Revenue Fund</t>
  </si>
  <si>
    <t>02777</t>
  </si>
  <si>
    <t>DJJ Special Revenue Fund</t>
  </si>
  <si>
    <t>02780</t>
  </si>
  <si>
    <t>Tornado Relief Fund</t>
  </si>
  <si>
    <t>02790</t>
  </si>
  <si>
    <t>Virginia Disaster Relief Fund</t>
  </si>
  <si>
    <t>02795</t>
  </si>
  <si>
    <t>DOC/Inst Special Revenue Fund</t>
  </si>
  <si>
    <t>02799</t>
  </si>
  <si>
    <t>DOC Special Revenue Fund</t>
  </si>
  <si>
    <t>02800</t>
  </si>
  <si>
    <t>Appropriated IDC Recoveries</t>
  </si>
  <si>
    <t>02810</t>
  </si>
  <si>
    <t>Small Business Jobs Grant Fund</t>
  </si>
  <si>
    <t>02820</t>
  </si>
  <si>
    <t>Abbott Lab Settlement Fund</t>
  </si>
  <si>
    <t>02821</t>
  </si>
  <si>
    <t>Capitol Square Spec Rev Fund</t>
  </si>
  <si>
    <t>02830</t>
  </si>
  <si>
    <t>Fraud Recovery Fund</t>
  </si>
  <si>
    <t>02836</t>
  </si>
  <si>
    <t>Exec Mansion Special Rev Fund</t>
  </si>
  <si>
    <t>02840</t>
  </si>
  <si>
    <t>Recycl Mtrl Sales-Gen/NonHE</t>
  </si>
  <si>
    <t>02845</t>
  </si>
  <si>
    <t>MLK Special Revenue Fund</t>
  </si>
  <si>
    <t>02848</t>
  </si>
  <si>
    <t>VIDC Special Revenue Fund</t>
  </si>
  <si>
    <t>02859</t>
  </si>
  <si>
    <t>VSCW Special Revenue Fund</t>
  </si>
  <si>
    <t>02860</t>
  </si>
  <si>
    <t>Recycl Mtrl Sales-Nongen/NonHE</t>
  </si>
  <si>
    <t>02861</t>
  </si>
  <si>
    <t>Recycl Matl Sales-VCE</t>
  </si>
  <si>
    <t>02869</t>
  </si>
  <si>
    <t>Centennial W Wilson Pres Fund</t>
  </si>
  <si>
    <t>02870</t>
  </si>
  <si>
    <t>Surp Suppy/Equip Sale-GF-NonHE</t>
  </si>
  <si>
    <t>02871</t>
  </si>
  <si>
    <t>Surplus Supp &amp; Equip GF-VCE</t>
  </si>
  <si>
    <t>02877</t>
  </si>
  <si>
    <t>VADC Special Revenue Fund</t>
  </si>
  <si>
    <t>02880</t>
  </si>
  <si>
    <t>Surp Supply/Equip-NonGF-NonHE</t>
  </si>
  <si>
    <t>02881</t>
  </si>
  <si>
    <t>Surplus Supp &amp; Equip NGF-VCE</t>
  </si>
  <si>
    <t>02882</t>
  </si>
  <si>
    <t>Surplus Supp &amp; Equip NGF-VPA</t>
  </si>
  <si>
    <t>02900</t>
  </si>
  <si>
    <t>Insurance Recovery</t>
  </si>
  <si>
    <t>02912</t>
  </si>
  <si>
    <t>DVS Special Revenue Fund</t>
  </si>
  <si>
    <t>02920</t>
  </si>
  <si>
    <t>Parking At MSC And 3600</t>
  </si>
  <si>
    <t>02922</t>
  </si>
  <si>
    <t>Sitter-Barfoot Spec Rev</t>
  </si>
  <si>
    <t>02937</t>
  </si>
  <si>
    <t>SVHEC Special Revenue Fund</t>
  </si>
  <si>
    <t>02938</t>
  </si>
  <si>
    <t>NCI Special Revenue Fund</t>
  </si>
  <si>
    <t>02942</t>
  </si>
  <si>
    <t>VMNH Special Revenue Fund</t>
  </si>
  <si>
    <t>02948</t>
  </si>
  <si>
    <t>SWHEC Special Revenue Fund</t>
  </si>
  <si>
    <t>02949</t>
  </si>
  <si>
    <t>Cen Cap Outlay Special Revenue</t>
  </si>
  <si>
    <t>02957</t>
  </si>
  <si>
    <t>CASC Special Revenue Fund</t>
  </si>
  <si>
    <t>02960</t>
  </si>
  <si>
    <t>DFP Special Revenue Fund</t>
  </si>
  <si>
    <t>02970</t>
  </si>
  <si>
    <t>Asbestos Claims Trust Fund</t>
  </si>
  <si>
    <t>02971</t>
  </si>
  <si>
    <t>02997</t>
  </si>
  <si>
    <t>DAS Special Revenue Fund</t>
  </si>
  <si>
    <t>02999</t>
  </si>
  <si>
    <t>ABC Special Revenue Fund</t>
  </si>
  <si>
    <t>03000</t>
  </si>
  <si>
    <t>Higher Education Operating</t>
  </si>
  <si>
    <t>03010</t>
  </si>
  <si>
    <t>Higher Education Federal</t>
  </si>
  <si>
    <t>03020</t>
  </si>
  <si>
    <t>Foundation/Othr Grants/Cntrcts</t>
  </si>
  <si>
    <t>03030</t>
  </si>
  <si>
    <t>Indirect Cost Recovery</t>
  </si>
  <si>
    <t>03050</t>
  </si>
  <si>
    <t>Unique Military Activities</t>
  </si>
  <si>
    <t>03060</t>
  </si>
  <si>
    <t>Auxiliary Enterprise</t>
  </si>
  <si>
    <t>03070</t>
  </si>
  <si>
    <t>Excess Tuition And Fees</t>
  </si>
  <si>
    <t>03080</t>
  </si>
  <si>
    <t>Work Study</t>
  </si>
  <si>
    <t>03090</t>
  </si>
  <si>
    <t>University Hospitals</t>
  </si>
  <si>
    <t>03100</t>
  </si>
  <si>
    <t>Academic Enhancements</t>
  </si>
  <si>
    <t>03110</t>
  </si>
  <si>
    <t>Eminent Scholars</t>
  </si>
  <si>
    <t>03120</t>
  </si>
  <si>
    <t>Historic Deficiencies</t>
  </si>
  <si>
    <t>03130</t>
  </si>
  <si>
    <t>Outreach Programs</t>
  </si>
  <si>
    <t>03150</t>
  </si>
  <si>
    <t>Management Plan</t>
  </si>
  <si>
    <t>03160</t>
  </si>
  <si>
    <t>Excess Indirct Cost Recoveries</t>
  </si>
  <si>
    <t>03170</t>
  </si>
  <si>
    <t>Student Financial Assistance</t>
  </si>
  <si>
    <t>03190</t>
  </si>
  <si>
    <t>Workforce Development Program</t>
  </si>
  <si>
    <t>03220</t>
  </si>
  <si>
    <t>Covered Institution Int Escrow</t>
  </si>
  <si>
    <t>03240</t>
  </si>
  <si>
    <t>Grnt-Trng P Care Med&amp;Dent-ARRA</t>
  </si>
  <si>
    <t>03250</t>
  </si>
  <si>
    <t>E&amp;G Facilities Maint Reserve</t>
  </si>
  <si>
    <t>03270</t>
  </si>
  <si>
    <t>Adv Rsrch-Enrgy Finc Asst-ARRA</t>
  </si>
  <si>
    <t>03300</t>
  </si>
  <si>
    <t>Hi Ed Decentralzation Suspense</t>
  </si>
  <si>
    <t>03430</t>
  </si>
  <si>
    <t>Fiscal Stabilization-Edu-ARRA</t>
  </si>
  <si>
    <t>03470</t>
  </si>
  <si>
    <t>Measuremnt&amp;Eng Rsrch&amp;Std-ARRA</t>
  </si>
  <si>
    <t>03480</t>
  </si>
  <si>
    <t>State Energy Program - ARRA</t>
  </si>
  <si>
    <t>03500</t>
  </si>
  <si>
    <t>Fishery Resource Grant Fund</t>
  </si>
  <si>
    <t>03510</t>
  </si>
  <si>
    <t>Trans-NSF Rcvry Act Rsrch-ARRA</t>
  </si>
  <si>
    <t>03520</t>
  </si>
  <si>
    <t>Trans-NIH Rcvry Act Rsrch-ARRA</t>
  </si>
  <si>
    <t>03530</t>
  </si>
  <si>
    <t>Spec Ed Grants-Infnts&amp;Fam-ARRA</t>
  </si>
  <si>
    <t>03590</t>
  </si>
  <si>
    <t>NCRR Rcvry Act Const Supp-ARRA</t>
  </si>
  <si>
    <t>03610</t>
  </si>
  <si>
    <t>Americorps - ARRA UVA</t>
  </si>
  <si>
    <t>03620</t>
  </si>
  <si>
    <t>Schlrshps Disadvtg Stdnts-ARRA</t>
  </si>
  <si>
    <t>03640</t>
  </si>
  <si>
    <t>Off Of Sci Fin Assist Pgm-ARRA</t>
  </si>
  <si>
    <t>03660</t>
  </si>
  <si>
    <t>School Improvement Grants-ARRA</t>
  </si>
  <si>
    <t>03670</t>
  </si>
  <si>
    <t>Weatherztion Asst Low-Inc-ARRA</t>
  </si>
  <si>
    <t>03720</t>
  </si>
  <si>
    <t>St Fiscal Stabl-Innovtion-ARRA</t>
  </si>
  <si>
    <t>03730</t>
  </si>
  <si>
    <t>Rsrch-Hlthcare Comp Eff-ARRA</t>
  </si>
  <si>
    <t>03750</t>
  </si>
  <si>
    <t>NASA Fed Flow Thru Cntrct-ARRA</t>
  </si>
  <si>
    <t>03770</t>
  </si>
  <si>
    <t>Enrgy Sec Audit&amp;Isle Mthd-ARRA</t>
  </si>
  <si>
    <t>03780</t>
  </si>
  <si>
    <t>Wrkr Trn Plcemnt-Hi Grwth-ARRA</t>
  </si>
  <si>
    <t>03790</t>
  </si>
  <si>
    <t>Health Info Tech Pro-Hc-ARRA</t>
  </si>
  <si>
    <t>03800</t>
  </si>
  <si>
    <t>St Broadband Data&amp;Dvlpmnt-ARRA</t>
  </si>
  <si>
    <t>03810</t>
  </si>
  <si>
    <t>WIA Adult Activities-St-ARRA</t>
  </si>
  <si>
    <t>03820</t>
  </si>
  <si>
    <t>WIA Yth Formula Grants-St-ARRA</t>
  </si>
  <si>
    <t>03830</t>
  </si>
  <si>
    <t>WIA Dslctd Wrkrs-Frmla St-ARRA</t>
  </si>
  <si>
    <t>03840</t>
  </si>
  <si>
    <t>Recyclable Matl Sales-Gen-HE</t>
  </si>
  <si>
    <t>03860</t>
  </si>
  <si>
    <t>Rcycl Matl Sale-Non-Gen/Fed-HE</t>
  </si>
  <si>
    <t>03870</t>
  </si>
  <si>
    <t>Srplus Supp&amp;Equip Sales-Gen-HE</t>
  </si>
  <si>
    <t>03880</t>
  </si>
  <si>
    <t>Supp&amp;Equip Sls-Non-Gen/Fed-HE</t>
  </si>
  <si>
    <t>03890</t>
  </si>
  <si>
    <t>Proc Sale Of Srplus-Land&amp;Bldgs</t>
  </si>
  <si>
    <t>03900</t>
  </si>
  <si>
    <t>Insurance Recovery - Higher Ed</t>
  </si>
  <si>
    <t>03930</t>
  </si>
  <si>
    <t>Energy Performance Contracts</t>
  </si>
  <si>
    <t>03940</t>
  </si>
  <si>
    <t>Tchr Qlty Enhncmnt Partnr-ARRA</t>
  </si>
  <si>
    <t>03960</t>
  </si>
  <si>
    <t>Enrgy Eff &amp; Cnsvtn Bg Prg-ARRA</t>
  </si>
  <si>
    <t>03970</t>
  </si>
  <si>
    <t>Statewide Data Systems - ARRA</t>
  </si>
  <si>
    <t>04000</t>
  </si>
  <si>
    <t>04010</t>
  </si>
  <si>
    <t>Highway Federal</t>
  </si>
  <si>
    <t>04014</t>
  </si>
  <si>
    <t>Federal GARVEE-Prin &amp; Int</t>
  </si>
  <si>
    <t>04060</t>
  </si>
  <si>
    <t>Driver Education</t>
  </si>
  <si>
    <t>04070</t>
  </si>
  <si>
    <t>International Reg Motor Vehc</t>
  </si>
  <si>
    <t>04080</t>
  </si>
  <si>
    <t>IFTA Other St Fuel Usage Taxes</t>
  </si>
  <si>
    <t>04100</t>
  </si>
  <si>
    <t>Hwy Maintenance &amp; Operating Fd</t>
  </si>
  <si>
    <t>04220</t>
  </si>
  <si>
    <t>Transportatn Partnrshp Opp Fd</t>
  </si>
  <si>
    <t>04240</t>
  </si>
  <si>
    <t>Intercity Pass Rail Op&amp;Cap Fd</t>
  </si>
  <si>
    <t>04260</t>
  </si>
  <si>
    <t>Rail Enhancement Fund</t>
  </si>
  <si>
    <t>04290</t>
  </si>
  <si>
    <t>Federal Asset Forfeiture-DMV</t>
  </si>
  <si>
    <t>04300</t>
  </si>
  <si>
    <t>State Asset Forfeiture-DMV</t>
  </si>
  <si>
    <t>04310</t>
  </si>
  <si>
    <t>Concession Payments Account</t>
  </si>
  <si>
    <t>04311</t>
  </si>
  <si>
    <t>Pocahontas Parkway - T895</t>
  </si>
  <si>
    <t>04312</t>
  </si>
  <si>
    <t>Capital Beltway Hotlanes-Rt495</t>
  </si>
  <si>
    <t>04313</t>
  </si>
  <si>
    <t>Shortline Rail Preserv&amp;Develop</t>
  </si>
  <si>
    <t>04360</t>
  </si>
  <si>
    <t>Powhite Parkway Extension</t>
  </si>
  <si>
    <t>04361</t>
  </si>
  <si>
    <t>Powhite Parkwy Construction Fd</t>
  </si>
  <si>
    <t>04362</t>
  </si>
  <si>
    <t>Powhite Revenue Fund</t>
  </si>
  <si>
    <t>04363</t>
  </si>
  <si>
    <t>Powhite Maint Replacmnt Fund</t>
  </si>
  <si>
    <t>04366</t>
  </si>
  <si>
    <t>Chesterfield Note Repaymnt Fd</t>
  </si>
  <si>
    <t>04460</t>
  </si>
  <si>
    <t>I-66 Inside Bltwy Toll Facilty</t>
  </si>
  <si>
    <t>04461</t>
  </si>
  <si>
    <t>I-66 ITB Construction</t>
  </si>
  <si>
    <t>04462</t>
  </si>
  <si>
    <t>I-66 ITB Revenue Fund</t>
  </si>
  <si>
    <t>04463</t>
  </si>
  <si>
    <t>I-66 ITB Maint Rep Fund</t>
  </si>
  <si>
    <t>04500</t>
  </si>
  <si>
    <t>Va Trans Infrastructure Bank</t>
  </si>
  <si>
    <t>04510</t>
  </si>
  <si>
    <t>Mtrcycl Rdr Sfty Training Pgm</t>
  </si>
  <si>
    <t>04540</t>
  </si>
  <si>
    <t>Motor Vehicle Special Fund</t>
  </si>
  <si>
    <t>04550</t>
  </si>
  <si>
    <t>Mtr Carrier Prmt/Sngl St Rg Fe</t>
  </si>
  <si>
    <t>04590</t>
  </si>
  <si>
    <t>Single St Registrn Fee-Othr St</t>
  </si>
  <si>
    <t>04610</t>
  </si>
  <si>
    <t>Aviation Fees and Taxes</t>
  </si>
  <si>
    <t>04660</t>
  </si>
  <si>
    <t>Aviation Educ Facilities Fund</t>
  </si>
  <si>
    <t>04700</t>
  </si>
  <si>
    <t>04710</t>
  </si>
  <si>
    <t>Transportation Trust Fund</t>
  </si>
  <si>
    <t>04711</t>
  </si>
  <si>
    <t>Transportation Trust Fund-VPA</t>
  </si>
  <si>
    <t>04720</t>
  </si>
  <si>
    <t>Highway Construction Fund</t>
  </si>
  <si>
    <t>04730</t>
  </si>
  <si>
    <t>Priority Transportation Fund</t>
  </si>
  <si>
    <t>04740</t>
  </si>
  <si>
    <t>Commonwealth Port Fund</t>
  </si>
  <si>
    <t>04750</t>
  </si>
  <si>
    <t>Commonwealth Airport Fund</t>
  </si>
  <si>
    <t>04760</t>
  </si>
  <si>
    <t>Toll Facilities Revolving Fund</t>
  </si>
  <si>
    <t>04766</t>
  </si>
  <si>
    <t>Violation Enforcement Sys</t>
  </si>
  <si>
    <t>04767</t>
  </si>
  <si>
    <t>State Infrastructure Bank-Fed</t>
  </si>
  <si>
    <t>04768</t>
  </si>
  <si>
    <t>State Infrastructure Bank-Stat</t>
  </si>
  <si>
    <t>04769</t>
  </si>
  <si>
    <t>04770</t>
  </si>
  <si>
    <t>Commonwealth Mass Transit Fund</t>
  </si>
  <si>
    <t>04780</t>
  </si>
  <si>
    <t>Commonwealth Transit Cap Fund</t>
  </si>
  <si>
    <t>04800</t>
  </si>
  <si>
    <t>Commonwealth Space Flight Fd</t>
  </si>
  <si>
    <t>04860</t>
  </si>
  <si>
    <t>Recyclable Matl -NonGF-NonHE</t>
  </si>
  <si>
    <t>04880</t>
  </si>
  <si>
    <t>Surp Supply/ Equip-NonGF-NonHE</t>
  </si>
  <si>
    <t>05001</t>
  </si>
  <si>
    <t>Enterprise-ABC</t>
  </si>
  <si>
    <t>05010</t>
  </si>
  <si>
    <t>Consolidated Laboratory Srvcs</t>
  </si>
  <si>
    <t>05020</t>
  </si>
  <si>
    <t>Fed Safe Drnkng Wtr Test Prcds</t>
  </si>
  <si>
    <t>05050</t>
  </si>
  <si>
    <t>EVA Procurement Program</t>
  </si>
  <si>
    <t>05100</t>
  </si>
  <si>
    <t>Operating Permits Program</t>
  </si>
  <si>
    <t>05172</t>
  </si>
  <si>
    <t>Enterprise-VAL</t>
  </si>
  <si>
    <t>05174</t>
  </si>
  <si>
    <t>05176</t>
  </si>
  <si>
    <t>05200</t>
  </si>
  <si>
    <t>Health Insurance Fund - Local</t>
  </si>
  <si>
    <t>05220</t>
  </si>
  <si>
    <t>Admin of Local Benefits Servcs</t>
  </si>
  <si>
    <t>05238</t>
  </si>
  <si>
    <t>VMFA Enterprise Fund</t>
  </si>
  <si>
    <t>05330</t>
  </si>
  <si>
    <t>State Asset Forfeiture-ABC</t>
  </si>
  <si>
    <t>05360</t>
  </si>
  <si>
    <t>Fed Asset Forfeiture-ABC DOJ</t>
  </si>
  <si>
    <t>05370</t>
  </si>
  <si>
    <t>Fed Asset Forfeiture-ABC Treas</t>
  </si>
  <si>
    <t>05880</t>
  </si>
  <si>
    <t>Surplus Supp &amp; Equip Sales-VAL</t>
  </si>
  <si>
    <t>05881</t>
  </si>
  <si>
    <t>Surplus Supp &amp; Equp Sales-ABC</t>
  </si>
  <si>
    <t>05910</t>
  </si>
  <si>
    <t>Manufacture Products</t>
  </si>
  <si>
    <t>06010</t>
  </si>
  <si>
    <t>Real Estate Services</t>
  </si>
  <si>
    <t>06011</t>
  </si>
  <si>
    <t>06020</t>
  </si>
  <si>
    <t>Graphics Communication</t>
  </si>
  <si>
    <t>06030</t>
  </si>
  <si>
    <t>State Surplus Property Program</t>
  </si>
  <si>
    <t>06040</t>
  </si>
  <si>
    <t>DGS Maintenance &amp; Repair Proj</t>
  </si>
  <si>
    <t>06050</t>
  </si>
  <si>
    <t>Federal Surplus Property Prgm</t>
  </si>
  <si>
    <t>06060</t>
  </si>
  <si>
    <t>DEQ Analytical Testng Services</t>
  </si>
  <si>
    <t>06070</t>
  </si>
  <si>
    <t>Bureau Of Cap Outlay Managemnt</t>
  </si>
  <si>
    <t>06080</t>
  </si>
  <si>
    <t>Payroll Service Bureau Service</t>
  </si>
  <si>
    <t>06090</t>
  </si>
  <si>
    <t>Enterprise App - Cardinal</t>
  </si>
  <si>
    <t>06100</t>
  </si>
  <si>
    <t>Fleet Management</t>
  </si>
  <si>
    <t>06136</t>
  </si>
  <si>
    <t>VITA Internal Service Fund</t>
  </si>
  <si>
    <t>06150</t>
  </si>
  <si>
    <t>Enterprise App-Perf Budgeting</t>
  </si>
  <si>
    <t>06170</t>
  </si>
  <si>
    <t>IT Security Service Center</t>
  </si>
  <si>
    <t>06194</t>
  </si>
  <si>
    <t>Internal Service-DGS</t>
  </si>
  <si>
    <t>06200</t>
  </si>
  <si>
    <t>Health Insurance Fd-State</t>
  </si>
  <si>
    <t>06210</t>
  </si>
  <si>
    <t>Health Insurance Fd-State Rstr</t>
  </si>
  <si>
    <t>06220</t>
  </si>
  <si>
    <t>Admin of Health Benefits Serv</t>
  </si>
  <si>
    <t>06350</t>
  </si>
  <si>
    <t>Early Retiree Reinsurance Pgm</t>
  </si>
  <si>
    <t>07002</t>
  </si>
  <si>
    <t>Trust And Agency-DOE/DAPE</t>
  </si>
  <si>
    <t>07003</t>
  </si>
  <si>
    <t>Trust And Agency-DOE/COO</t>
  </si>
  <si>
    <t>07004</t>
  </si>
  <si>
    <t>Trust And Agency-DGS</t>
  </si>
  <si>
    <t>07005</t>
  </si>
  <si>
    <t>Trust And Agency-VCCS</t>
  </si>
  <si>
    <t>07010</t>
  </si>
  <si>
    <t>VEC Federal Fund</t>
  </si>
  <si>
    <t>07011</t>
  </si>
  <si>
    <t>State Election Fund - Federal</t>
  </si>
  <si>
    <t>07012</t>
  </si>
  <si>
    <t>JAIBG Trust Fund - Federal</t>
  </si>
  <si>
    <t>07013</t>
  </si>
  <si>
    <t>WIA Federal Fund</t>
  </si>
  <si>
    <t>07020</t>
  </si>
  <si>
    <t>Literary Fund</t>
  </si>
  <si>
    <t>07030</t>
  </si>
  <si>
    <t>Unclaimed Property</t>
  </si>
  <si>
    <t>07033</t>
  </si>
  <si>
    <t>Misc VDOT Trust Fund</t>
  </si>
  <si>
    <t>07040</t>
  </si>
  <si>
    <t>Edward Byrne Memrl Jag Pgm-Fed</t>
  </si>
  <si>
    <t>07050</t>
  </si>
  <si>
    <t>Revenue Stabilization Fund</t>
  </si>
  <si>
    <t>07060</t>
  </si>
  <si>
    <t>Group Life Insurance</t>
  </si>
  <si>
    <t>07070</t>
  </si>
  <si>
    <t>Motor Vehicle Trnsactn Rcovery</t>
  </si>
  <si>
    <t>07080</t>
  </si>
  <si>
    <t>Technology Trust Fund</t>
  </si>
  <si>
    <t>07081</t>
  </si>
  <si>
    <t>Contested Pesticide Penalties</t>
  </si>
  <si>
    <t>07082</t>
  </si>
  <si>
    <t>Edvantage Reserve Fund</t>
  </si>
  <si>
    <t>07083</t>
  </si>
  <si>
    <t>Dominion Power Settlement Fund</t>
  </si>
  <si>
    <t>07090</t>
  </si>
  <si>
    <t>VRS Members Contribution Acct</t>
  </si>
  <si>
    <t>07100</t>
  </si>
  <si>
    <t>VRS Retirement Allowance Acct</t>
  </si>
  <si>
    <t>07101</t>
  </si>
  <si>
    <t>Local Suspense Accel Sales Tax</t>
  </si>
  <si>
    <t>07102</t>
  </si>
  <si>
    <t>Tobacco Loss Assistance Progrm</t>
  </si>
  <si>
    <t>07103</t>
  </si>
  <si>
    <t>VSU WTA Trust Fund</t>
  </si>
  <si>
    <t>07110</t>
  </si>
  <si>
    <t>JLARC Trust and Agency</t>
  </si>
  <si>
    <t>07111</t>
  </si>
  <si>
    <t>SPORS Members Cont Acct</t>
  </si>
  <si>
    <t>07112</t>
  </si>
  <si>
    <t>VSU ERIP Trust Fund</t>
  </si>
  <si>
    <t>07113</t>
  </si>
  <si>
    <t>CMSIP Concentration Account</t>
  </si>
  <si>
    <t>07114</t>
  </si>
  <si>
    <t>Worker's Comp Funding Account</t>
  </si>
  <si>
    <t>07120</t>
  </si>
  <si>
    <t>Mtr Vehc Rntl Tax-VPBA Dbt Svc</t>
  </si>
  <si>
    <t>07121</t>
  </si>
  <si>
    <t>SPORS Retirement Allow Acct</t>
  </si>
  <si>
    <t>07128</t>
  </si>
  <si>
    <t>Trust and Agency-VVCC</t>
  </si>
  <si>
    <t>07129</t>
  </si>
  <si>
    <t>DHRM Trust and Agency Fund</t>
  </si>
  <si>
    <t>07130</t>
  </si>
  <si>
    <t>JRS Members Contribution Acct</t>
  </si>
  <si>
    <t>07140</t>
  </si>
  <si>
    <t>JRS Retirement Allowance Acct</t>
  </si>
  <si>
    <t>07141</t>
  </si>
  <si>
    <t>Trust And Agency-OAG</t>
  </si>
  <si>
    <t>07146</t>
  </si>
  <si>
    <t>SMV Trust and Agency Fund</t>
  </si>
  <si>
    <t>07149</t>
  </si>
  <si>
    <t>AHI Trust and Agency Fund</t>
  </si>
  <si>
    <t>07150</t>
  </si>
  <si>
    <t>Local Fines And Fees In Escrow</t>
  </si>
  <si>
    <t>07151</t>
  </si>
  <si>
    <t>Visually Hndicappd Endwmnt</t>
  </si>
  <si>
    <t>07152</t>
  </si>
  <si>
    <t>Trust And Agency-TD</t>
  </si>
  <si>
    <t>07153</t>
  </si>
  <si>
    <t>SSBCI Federal Fund</t>
  </si>
  <si>
    <t>07154</t>
  </si>
  <si>
    <t>Trust And Agency-DMV</t>
  </si>
  <si>
    <t>07155</t>
  </si>
  <si>
    <t>Locality Permit Fund</t>
  </si>
  <si>
    <t>07156</t>
  </si>
  <si>
    <t>Trust And Agency-VSP</t>
  </si>
  <si>
    <t>07158</t>
  </si>
  <si>
    <t>Pooled VRS Trust Assets</t>
  </si>
  <si>
    <t>07159</t>
  </si>
  <si>
    <t>Pooled VRS Non-Trust Assets</t>
  </si>
  <si>
    <t>07160</t>
  </si>
  <si>
    <t>VA Farm Loan Revolving Acct</t>
  </si>
  <si>
    <t>07161</t>
  </si>
  <si>
    <t>Trust And Agency-TAX</t>
  </si>
  <si>
    <t>07162</t>
  </si>
  <si>
    <t>Trust And Agency-DOATP</t>
  </si>
  <si>
    <t>07171</t>
  </si>
  <si>
    <t>Trust And Agency-SCC</t>
  </si>
  <si>
    <t>07180</t>
  </si>
  <si>
    <t>VRS Administrative Expense</t>
  </si>
  <si>
    <t>07182</t>
  </si>
  <si>
    <t>Trust And Agency-VEC</t>
  </si>
  <si>
    <t>07190</t>
  </si>
  <si>
    <t>Cwlth Trans Cap Proj Bd Act-07</t>
  </si>
  <si>
    <t>07191</t>
  </si>
  <si>
    <t>Cap Proj Rev Bds Constn</t>
  </si>
  <si>
    <t>07194</t>
  </si>
  <si>
    <t>Cap Proj Rev Bnds P&amp;I</t>
  </si>
  <si>
    <t>07195</t>
  </si>
  <si>
    <t>CPR Revenue Stabilization Fund</t>
  </si>
  <si>
    <t>07200</t>
  </si>
  <si>
    <t>Fed Grant Anticpatn Note Fund</t>
  </si>
  <si>
    <t>07201</t>
  </si>
  <si>
    <t>GARVEE - Construction Fund</t>
  </si>
  <si>
    <t>07204</t>
  </si>
  <si>
    <t>GARVEE - Interest &amp; Principal</t>
  </si>
  <si>
    <t>07205</t>
  </si>
  <si>
    <t>Deferred Compensation Program</t>
  </si>
  <si>
    <t>07210</t>
  </si>
  <si>
    <t>Flex Reimbursmnt-Dpndnt Care</t>
  </si>
  <si>
    <t>07211</t>
  </si>
  <si>
    <t>FUBA Benefits Fund</t>
  </si>
  <si>
    <t>07212</t>
  </si>
  <si>
    <t>Trust And Agency-VSU</t>
  </si>
  <si>
    <t>07213</t>
  </si>
  <si>
    <t>Comm Sales And Use Tax Trust</t>
  </si>
  <si>
    <t>07216</t>
  </si>
  <si>
    <t>Trust And Agency-JMU</t>
  </si>
  <si>
    <t>07220</t>
  </si>
  <si>
    <t>Flex Reimbursmnt-Medical Reimb</t>
  </si>
  <si>
    <t>07230</t>
  </si>
  <si>
    <t>VRS Retiree Health Ins Credit</t>
  </si>
  <si>
    <t>07231</t>
  </si>
  <si>
    <t>Flex Reimbursmnt-Admin Fees</t>
  </si>
  <si>
    <t>07240</t>
  </si>
  <si>
    <t>Flex Reimbursement-Forfeiture</t>
  </si>
  <si>
    <t>07245</t>
  </si>
  <si>
    <t>SCHEV Trust and Agency Fund</t>
  </si>
  <si>
    <t>07250</t>
  </si>
  <si>
    <t>VA Sickness &amp; Disability Pgm</t>
  </si>
  <si>
    <t>07251</t>
  </si>
  <si>
    <t>Local Vehicle Registration Pgm</t>
  </si>
  <si>
    <t>07252</t>
  </si>
  <si>
    <t>TRA Allowances Fund</t>
  </si>
  <si>
    <t>07253</t>
  </si>
  <si>
    <t>Prescription Monitoring</t>
  </si>
  <si>
    <t>07254</t>
  </si>
  <si>
    <t>Grants-Pro Agri&amp;Emer Food Asst</t>
  </si>
  <si>
    <t>07256</t>
  </si>
  <si>
    <t>Non-Drug Asset Forfeiture Fund</t>
  </si>
  <si>
    <t>07260</t>
  </si>
  <si>
    <t>VA Indv Dev Acct Plus Trst</t>
  </si>
  <si>
    <t>07261</t>
  </si>
  <si>
    <t>Abandoned Mined Land Spec Trst</t>
  </si>
  <si>
    <t>07270</t>
  </si>
  <si>
    <t>CDS Offset Monies-Rstrctrd Agy</t>
  </si>
  <si>
    <t>07271</t>
  </si>
  <si>
    <t>Commonwealth Health Research</t>
  </si>
  <si>
    <t>07280</t>
  </si>
  <si>
    <t>CDS Offset Monies In Suspense</t>
  </si>
  <si>
    <t>07290</t>
  </si>
  <si>
    <t>Cert Of Agri Products Trust</t>
  </si>
  <si>
    <t>07291</t>
  </si>
  <si>
    <t>VaLORS Members Cont Acct</t>
  </si>
  <si>
    <t>07300</t>
  </si>
  <si>
    <t>VaLORS Retirement Allow Acct</t>
  </si>
  <si>
    <t>07301</t>
  </si>
  <si>
    <t>Trust And Agency-VDACS</t>
  </si>
  <si>
    <t>07304</t>
  </si>
  <si>
    <t>Allstate Expr Chk Cash Sttlmnt</t>
  </si>
  <si>
    <t>07305</t>
  </si>
  <si>
    <t>St/Local Law Enfrc Eqp Pro Prg</t>
  </si>
  <si>
    <t>07311</t>
  </si>
  <si>
    <t>State Student Loan Fund</t>
  </si>
  <si>
    <t>07320</t>
  </si>
  <si>
    <t>TICR Endowment</t>
  </si>
  <si>
    <t>07330</t>
  </si>
  <si>
    <t>Oil Overcharge Funds</t>
  </si>
  <si>
    <t>07331</t>
  </si>
  <si>
    <t>St Asset Forfeiture Suspense</t>
  </si>
  <si>
    <t>07340</t>
  </si>
  <si>
    <t>Texaco Oil Overcharge Fund</t>
  </si>
  <si>
    <t>07341</t>
  </si>
  <si>
    <t>Texaco Oil Overcharge - JMU</t>
  </si>
  <si>
    <t>07350</t>
  </si>
  <si>
    <t>VA Benefit Restoration Plan</t>
  </si>
  <si>
    <t>07360</t>
  </si>
  <si>
    <t>Vol Firefighter/Rescue Sqd Sap</t>
  </si>
  <si>
    <t>07361</t>
  </si>
  <si>
    <t>Oil Overcharge Trust Fund</t>
  </si>
  <si>
    <t>07370</t>
  </si>
  <si>
    <t>Oil &amp; Gas Surety Bonds</t>
  </si>
  <si>
    <t>07380</t>
  </si>
  <si>
    <t>Exxon Oil Overcharge Fund</t>
  </si>
  <si>
    <t>07390</t>
  </si>
  <si>
    <t>Stripper Well Oil Overchrge Fd</t>
  </si>
  <si>
    <t>07400</t>
  </si>
  <si>
    <t>Property Insurance Trust Fund</t>
  </si>
  <si>
    <t>07401</t>
  </si>
  <si>
    <t>Diamond Shamrock Oil Overcharg</t>
  </si>
  <si>
    <t>07403</t>
  </si>
  <si>
    <t>Trust And Agency-DGIF</t>
  </si>
  <si>
    <t>07405</t>
  </si>
  <si>
    <t>VRC Escrow Fund</t>
  </si>
  <si>
    <t>07409</t>
  </si>
  <si>
    <t>Trust And Agency-DMME</t>
  </si>
  <si>
    <t>07410</t>
  </si>
  <si>
    <t>Miscellaneous Insurance Trust</t>
  </si>
  <si>
    <t>07411</t>
  </si>
  <si>
    <t>Mathews State Forest Fund</t>
  </si>
  <si>
    <t>07420</t>
  </si>
  <si>
    <t>LOD Death &amp; Hlth Benefits Trst</t>
  </si>
  <si>
    <t>07421</t>
  </si>
  <si>
    <t>Worker's Comp Trust Fund</t>
  </si>
  <si>
    <t>07422</t>
  </si>
  <si>
    <t>Admin of Hlth Bnfts Pymnt-LODA</t>
  </si>
  <si>
    <t>07430</t>
  </si>
  <si>
    <t>Liability Trust Fund</t>
  </si>
  <si>
    <t>07440</t>
  </si>
  <si>
    <t>Automobile Trust Fund</t>
  </si>
  <si>
    <t>07450</t>
  </si>
  <si>
    <t>Additional Automobile Rntl Tax</t>
  </si>
  <si>
    <t>07451</t>
  </si>
  <si>
    <t>Local Entities Bond Program</t>
  </si>
  <si>
    <t>07460</t>
  </si>
  <si>
    <t>Mobile Home Sales Tax</t>
  </si>
  <si>
    <t>07461</t>
  </si>
  <si>
    <t>Public Officials Insurance</t>
  </si>
  <si>
    <t>07470</t>
  </si>
  <si>
    <t>Law Enforcement Insurance</t>
  </si>
  <si>
    <t>07471</t>
  </si>
  <si>
    <t>COURT PAYMENTS</t>
  </si>
  <si>
    <t>07480</t>
  </si>
  <si>
    <t>Undergrd Petroleum Storage Tnk</t>
  </si>
  <si>
    <t>07481</t>
  </si>
  <si>
    <t>George Washington Rgnl Commiss</t>
  </si>
  <si>
    <t>07490</t>
  </si>
  <si>
    <t>Commuter Rail Trust Fund</t>
  </si>
  <si>
    <t>07500</t>
  </si>
  <si>
    <t>Cash Surety Bonds</t>
  </si>
  <si>
    <t>07510</t>
  </si>
  <si>
    <t>Moto Pool Surety Bonds</t>
  </si>
  <si>
    <t>07520</t>
  </si>
  <si>
    <t>SP Sales&amp;Use Tax Mtr Vehc Repr</t>
  </si>
  <si>
    <t>07530</t>
  </si>
  <si>
    <t>Coal Surface Mining Reclmation</t>
  </si>
  <si>
    <t>07531</t>
  </si>
  <si>
    <t>Hybrid Plan Defined Cont</t>
  </si>
  <si>
    <t>07540</t>
  </si>
  <si>
    <t>Coal Surf Mng Contl&amp;Recl Cvl</t>
  </si>
  <si>
    <t>07541</t>
  </si>
  <si>
    <t>VA Local Disability Pgm</t>
  </si>
  <si>
    <t>07550</t>
  </si>
  <si>
    <t>Dupont Shenandoah Rvr Hg Mntrg</t>
  </si>
  <si>
    <t>07551</t>
  </si>
  <si>
    <t>Gas &amp; Oil Plugging &amp; Restortn</t>
  </si>
  <si>
    <t>07552</t>
  </si>
  <si>
    <t>Rdioactve Mat Prptl Care Trust</t>
  </si>
  <si>
    <t>07553</t>
  </si>
  <si>
    <t>07560</t>
  </si>
  <si>
    <t>Lottery Proceeds Fund</t>
  </si>
  <si>
    <t>07561</t>
  </si>
  <si>
    <t>Virginia Research Investment F</t>
  </si>
  <si>
    <t>07570</t>
  </si>
  <si>
    <t>Epayable Monies In Suspense</t>
  </si>
  <si>
    <t>07580</t>
  </si>
  <si>
    <t>Rt 58 Corridor Development Pgm</t>
  </si>
  <si>
    <t>07581</t>
  </si>
  <si>
    <t>Rt 58 - Construction Fund</t>
  </si>
  <si>
    <t>07584</t>
  </si>
  <si>
    <t>Rt 58 - Interest &amp; Principal</t>
  </si>
  <si>
    <t>07600</t>
  </si>
  <si>
    <t>No Va Transportation Dist Fd</t>
  </si>
  <si>
    <t>07601</t>
  </si>
  <si>
    <t>NVTD - Construction Fund</t>
  </si>
  <si>
    <t>07604</t>
  </si>
  <si>
    <t>NVTD - Interest &amp; Principal</t>
  </si>
  <si>
    <t>07610</t>
  </si>
  <si>
    <t>Oak Grove Connector-TISAF</t>
  </si>
  <si>
    <t>07611</t>
  </si>
  <si>
    <t>Oak Grove Connector Constr</t>
  </si>
  <si>
    <t>07614</t>
  </si>
  <si>
    <t>Oak Grove Cnntr &amp; Prnpl</t>
  </si>
  <si>
    <t>07660</t>
  </si>
  <si>
    <t>Equipment Trust Fund</t>
  </si>
  <si>
    <t>07690</t>
  </si>
  <si>
    <t>VA Public School Authority</t>
  </si>
  <si>
    <t>07710</t>
  </si>
  <si>
    <t>Local Govrnmnt Investment Pool</t>
  </si>
  <si>
    <t>07720</t>
  </si>
  <si>
    <t>Medicaid Concentration Trust</t>
  </si>
  <si>
    <t>07740</t>
  </si>
  <si>
    <t>Miscellaneous Trust Funds</t>
  </si>
  <si>
    <t>07750</t>
  </si>
  <si>
    <t>Route 28 Fund</t>
  </si>
  <si>
    <t>07751</t>
  </si>
  <si>
    <t>Rt 28 - Construction Fund</t>
  </si>
  <si>
    <t>07754</t>
  </si>
  <si>
    <t>Rt 28 - Interest &amp; Principal</t>
  </si>
  <si>
    <t>07760</t>
  </si>
  <si>
    <t>9-C Higher Education Bonds</t>
  </si>
  <si>
    <t>07770</t>
  </si>
  <si>
    <t>9-D Higher Education Bonds</t>
  </si>
  <si>
    <t>07799</t>
  </si>
  <si>
    <t>DOC Trust and Agency Fund</t>
  </si>
  <si>
    <t>07800</t>
  </si>
  <si>
    <t>VPI Bond Funds</t>
  </si>
  <si>
    <t>07810</t>
  </si>
  <si>
    <t>General Obligation Bond Fund</t>
  </si>
  <si>
    <t>07820</t>
  </si>
  <si>
    <t>Coleman Bridge Fund</t>
  </si>
  <si>
    <t>07821</t>
  </si>
  <si>
    <t>Coleman Br - Constr Fund</t>
  </si>
  <si>
    <t>07822</t>
  </si>
  <si>
    <t>Coleman Bridge - Revenue Fund</t>
  </si>
  <si>
    <t>07823</t>
  </si>
  <si>
    <t>Colemanbrdge Maint Replace Fnd</t>
  </si>
  <si>
    <t>07824</t>
  </si>
  <si>
    <t>Coleman Br - Interest &amp; Prinpl</t>
  </si>
  <si>
    <t>07825</t>
  </si>
  <si>
    <t>07826</t>
  </si>
  <si>
    <t>Coleman Bridge Improvemnt Fund</t>
  </si>
  <si>
    <t>07827</t>
  </si>
  <si>
    <t>Coleman Brdg - Capitlz Intrst</t>
  </si>
  <si>
    <t>07870</t>
  </si>
  <si>
    <t>Virginia Housing Trust Fund</t>
  </si>
  <si>
    <t>07909</t>
  </si>
  <si>
    <t>Cen Cap Outlay Trust &amp; Agency</t>
  </si>
  <si>
    <t>07922</t>
  </si>
  <si>
    <t>Trust and Agency-SBVCC</t>
  </si>
  <si>
    <t>07930</t>
  </si>
  <si>
    <t>Unemploy Ins-Stim Admin-ARRA</t>
  </si>
  <si>
    <t>07940</t>
  </si>
  <si>
    <t>Fed Hwy Reimbrs Anticpatn Note</t>
  </si>
  <si>
    <t>07941</t>
  </si>
  <si>
    <t>Fed Hwy Reimb Anticip Notes</t>
  </si>
  <si>
    <t>07944</t>
  </si>
  <si>
    <t>FRAN - Debt Service Fund</t>
  </si>
  <si>
    <t>07951</t>
  </si>
  <si>
    <t>07952</t>
  </si>
  <si>
    <t>Unemploy Ins-Euc 08 Stim-ARRA</t>
  </si>
  <si>
    <t>07960</t>
  </si>
  <si>
    <t>Unemploy Ins-Fac Stimulus-ARRA</t>
  </si>
  <si>
    <t>07980</t>
  </si>
  <si>
    <t>Unemploy Ins-Admin Incent-ARRA</t>
  </si>
  <si>
    <t>07995</t>
  </si>
  <si>
    <t>Central Approp Trust &amp; Agency</t>
  </si>
  <si>
    <t>07997</t>
  </si>
  <si>
    <t>Trust And Agency-DAS</t>
  </si>
  <si>
    <t>08050</t>
  </si>
  <si>
    <t>Stormwater Local Assistance</t>
  </si>
  <si>
    <t>08070</t>
  </si>
  <si>
    <t>08071</t>
  </si>
  <si>
    <t>Powhite - Constr Fund</t>
  </si>
  <si>
    <t>08072</t>
  </si>
  <si>
    <t>Powhite - Revenue Fund</t>
  </si>
  <si>
    <t>08074</t>
  </si>
  <si>
    <t>Powhite - Interest &amp; Principal</t>
  </si>
  <si>
    <t>08075</t>
  </si>
  <si>
    <t>Powhite - Sinking Fund Redempt</t>
  </si>
  <si>
    <t>08076</t>
  </si>
  <si>
    <t>Powhite Prkwy Improvement Fund</t>
  </si>
  <si>
    <t>08110</t>
  </si>
  <si>
    <t>9(B) Debt Service-Const Costs</t>
  </si>
  <si>
    <t>08111</t>
  </si>
  <si>
    <t>9(B) Debt Service-Construction</t>
  </si>
  <si>
    <t>08120</t>
  </si>
  <si>
    <t>9(C) Debt Service-Prin/Int Pay</t>
  </si>
  <si>
    <t>08130</t>
  </si>
  <si>
    <t>9(C) Debt Service-Const Costs</t>
  </si>
  <si>
    <t>08131</t>
  </si>
  <si>
    <t>9(C) Debt Srvc-Const Costs-DGS</t>
  </si>
  <si>
    <t>08140</t>
  </si>
  <si>
    <t>9(D) Debt Service-Prin/Int Pay</t>
  </si>
  <si>
    <t>08150</t>
  </si>
  <si>
    <t>9(D) Rev Bonds-Construction</t>
  </si>
  <si>
    <t>08170</t>
  </si>
  <si>
    <t>VCBA 21St Century</t>
  </si>
  <si>
    <t>08171</t>
  </si>
  <si>
    <t>VCBA 21St Century - Evms</t>
  </si>
  <si>
    <t>08194</t>
  </si>
  <si>
    <t>Life to Date Capital Project</t>
  </si>
  <si>
    <t>08199</t>
  </si>
  <si>
    <t>Debt Service-DCR</t>
  </si>
  <si>
    <t>08200</t>
  </si>
  <si>
    <t>VPBA Projects</t>
  </si>
  <si>
    <t>08201</t>
  </si>
  <si>
    <t>VPBA Projects - NonState</t>
  </si>
  <si>
    <t>08204</t>
  </si>
  <si>
    <t>Debt Service-W&amp;M</t>
  </si>
  <si>
    <t>08207</t>
  </si>
  <si>
    <t>08208</t>
  </si>
  <si>
    <t>08209</t>
  </si>
  <si>
    <t>08210</t>
  </si>
  <si>
    <t>VPBA Projects - Interest</t>
  </si>
  <si>
    <t>08212</t>
  </si>
  <si>
    <t>08213</t>
  </si>
  <si>
    <t>Debt Service-NSU</t>
  </si>
  <si>
    <t>08214</t>
  </si>
  <si>
    <t>Debt Service-LONGWOOD</t>
  </si>
  <si>
    <t>08215</t>
  </si>
  <si>
    <t>Debt Service-UMW</t>
  </si>
  <si>
    <t>08216</t>
  </si>
  <si>
    <t>Debt Service-JMU</t>
  </si>
  <si>
    <t>08218</t>
  </si>
  <si>
    <t>08219</t>
  </si>
  <si>
    <t>VPBA Projects - HE - Interest</t>
  </si>
  <si>
    <t>08221</t>
  </si>
  <si>
    <t>08236</t>
  </si>
  <si>
    <t>Debt Service-VCU</t>
  </si>
  <si>
    <t>08238</t>
  </si>
  <si>
    <t>08239</t>
  </si>
  <si>
    <t>08242</t>
  </si>
  <si>
    <t>Debt Service-CNU</t>
  </si>
  <si>
    <t>08247</t>
  </si>
  <si>
    <t>08260</t>
  </si>
  <si>
    <t>Debt Service-VCCS CO</t>
  </si>
  <si>
    <t>08268</t>
  </si>
  <si>
    <t>Debt Service-VIMS</t>
  </si>
  <si>
    <t>08720</t>
  </si>
  <si>
    <t>Debt Service-DBHDS</t>
  </si>
  <si>
    <t>08777</t>
  </si>
  <si>
    <t>08778</t>
  </si>
  <si>
    <t>08799</t>
  </si>
  <si>
    <t>08937</t>
  </si>
  <si>
    <t>SVHEC Debt Service Fund</t>
  </si>
  <si>
    <t>08949</t>
  </si>
  <si>
    <t>Cen Cap Outlay Debt Serv Fund</t>
  </si>
  <si>
    <t>08951</t>
  </si>
  <si>
    <t>DPB 9(D) Revenue Bond Fund</t>
  </si>
  <si>
    <t>08994</t>
  </si>
  <si>
    <t>Debt Service-TTF</t>
  </si>
  <si>
    <t>09010</t>
  </si>
  <si>
    <t>Ches Bay Restoration Contribut</t>
  </si>
  <si>
    <t>09011</t>
  </si>
  <si>
    <t>Cap Access-Disadvntgd Business</t>
  </si>
  <si>
    <t>09012</t>
  </si>
  <si>
    <t>Armory Control Board Fund</t>
  </si>
  <si>
    <t>09013</t>
  </si>
  <si>
    <t>Donations-Local Health Depts</t>
  </si>
  <si>
    <t>09014</t>
  </si>
  <si>
    <t>VMFA Private Donations Fund</t>
  </si>
  <si>
    <t>09016</t>
  </si>
  <si>
    <t>State Forests System Fund</t>
  </si>
  <si>
    <t>09017</t>
  </si>
  <si>
    <t>Virginia Pesticide Control Act</t>
  </si>
  <si>
    <t>09018</t>
  </si>
  <si>
    <t>Chspk Bay Restoration VPI</t>
  </si>
  <si>
    <t>09020</t>
  </si>
  <si>
    <t>Trauma Center Fund</t>
  </si>
  <si>
    <t>09021</t>
  </si>
  <si>
    <t>Gov's Motion Picture Oppor Fd</t>
  </si>
  <si>
    <t>09022</t>
  </si>
  <si>
    <t>Motorboat And Water Safety Fnd</t>
  </si>
  <si>
    <t>09023</t>
  </si>
  <si>
    <t>Undrgrnd Utlty Dmg Prevntn Spc</t>
  </si>
  <si>
    <t>09024</t>
  </si>
  <si>
    <t>VA Stormwater Management Fund</t>
  </si>
  <si>
    <t>09030</t>
  </si>
  <si>
    <t>Crime Victim Compensation</t>
  </si>
  <si>
    <t>09031</t>
  </si>
  <si>
    <t>HOV Enforcement Fund</t>
  </si>
  <si>
    <t>09032</t>
  </si>
  <si>
    <t>Statewide Independent Living</t>
  </si>
  <si>
    <t>09033</t>
  </si>
  <si>
    <t>VA Children's Med Sec Ins Plan</t>
  </si>
  <si>
    <t>09034</t>
  </si>
  <si>
    <t>Work Program Revenue Fund</t>
  </si>
  <si>
    <t>09035</t>
  </si>
  <si>
    <t>School Rsrc Offr Incntve Grnts</t>
  </si>
  <si>
    <t>09036</t>
  </si>
  <si>
    <t>Small Renewable Energy Project</t>
  </si>
  <si>
    <t>09040</t>
  </si>
  <si>
    <t>Transportation District-DOA</t>
  </si>
  <si>
    <t>09041</t>
  </si>
  <si>
    <t>Debt Collection Recovery Fund</t>
  </si>
  <si>
    <t>09042</t>
  </si>
  <si>
    <t>Environmental Covenants Fund</t>
  </si>
  <si>
    <t>09043</t>
  </si>
  <si>
    <t>Non Game Cash Fund</t>
  </si>
  <si>
    <t>09044</t>
  </si>
  <si>
    <t>Bicentennial-War of 1812 Fund</t>
  </si>
  <si>
    <t>09050</t>
  </si>
  <si>
    <t>Court Technology Fund</t>
  </si>
  <si>
    <t>09051</t>
  </si>
  <si>
    <t>GIS Fund</t>
  </si>
  <si>
    <t>09052</t>
  </si>
  <si>
    <t>Lifetime Huntng&amp;Fishng Endwmnt</t>
  </si>
  <si>
    <t>09053</t>
  </si>
  <si>
    <t>VA Donor Registry&amp;Pub Awarenss</t>
  </si>
  <si>
    <t>09054</t>
  </si>
  <si>
    <t>VA St Police-Insurance Fraud</t>
  </si>
  <si>
    <t>09055</t>
  </si>
  <si>
    <t>Stormwater Local Assistance GF</t>
  </si>
  <si>
    <t>09060</t>
  </si>
  <si>
    <t>Waste Tire Trust Fund</t>
  </si>
  <si>
    <t>09061</t>
  </si>
  <si>
    <t>Invest Performance Grant Subfd</t>
  </si>
  <si>
    <t>09070</t>
  </si>
  <si>
    <t>VA Envrnmntal Emergncy Respnse</t>
  </si>
  <si>
    <t>09080</t>
  </si>
  <si>
    <t>Sludge Management Fund</t>
  </si>
  <si>
    <t>09081</t>
  </si>
  <si>
    <t>Mental Hlth/Retard Subst Abuse</t>
  </si>
  <si>
    <t>09082</t>
  </si>
  <si>
    <t>Mntl Hlth/Retard/Sub Abu-Grant</t>
  </si>
  <si>
    <t>09090</t>
  </si>
  <si>
    <t>Insurance Collateral Assessmnt</t>
  </si>
  <si>
    <t>09091</t>
  </si>
  <si>
    <t>Adv Shipbuilding Train Facilit</t>
  </si>
  <si>
    <t>09092</t>
  </si>
  <si>
    <t>VA Agricultural Vitality Prgrm</t>
  </si>
  <si>
    <t>09094</t>
  </si>
  <si>
    <t>VA's Natural Resources Trst Fd</t>
  </si>
  <si>
    <t>09095</t>
  </si>
  <si>
    <t>Air Pollution Permit Program</t>
  </si>
  <si>
    <t>09100</t>
  </si>
  <si>
    <t>VA Rescue Squads Assistance</t>
  </si>
  <si>
    <t>09101</t>
  </si>
  <si>
    <t>Commonwealths Devlp Oppor Fd</t>
  </si>
  <si>
    <t>09102</t>
  </si>
  <si>
    <t>Second Injury Fund</t>
  </si>
  <si>
    <t>09103</t>
  </si>
  <si>
    <t>Virginia Arts Foundation Fund</t>
  </si>
  <si>
    <t>09104</t>
  </si>
  <si>
    <t>VA Info Providers Network Fd</t>
  </si>
  <si>
    <t>09105</t>
  </si>
  <si>
    <t>Uninsured Medical Catastrophe</t>
  </si>
  <si>
    <t>09106</t>
  </si>
  <si>
    <t>Historic Resources Fund</t>
  </si>
  <si>
    <t>09107</t>
  </si>
  <si>
    <t>Dam Sfty/Flood Prev&amp;Prot Asst</t>
  </si>
  <si>
    <t>09110</t>
  </si>
  <si>
    <t>VA Waste Mgmt Board Permit Pgm</t>
  </si>
  <si>
    <t>09112</t>
  </si>
  <si>
    <t>VA Migr Waterfowl Cnsrvtn Stmp</t>
  </si>
  <si>
    <t>09113</t>
  </si>
  <si>
    <t>Trans Srvcs For Elderly/Dsabld</t>
  </si>
  <si>
    <t>09114</t>
  </si>
  <si>
    <t>Fraud Recovery Special Fund</t>
  </si>
  <si>
    <t>09117</t>
  </si>
  <si>
    <t>Dedicated Special Revenue-VSB</t>
  </si>
  <si>
    <t>09120</t>
  </si>
  <si>
    <t>VA Domestic Violence Victim</t>
  </si>
  <si>
    <t>09121</t>
  </si>
  <si>
    <t>Brown v Bd of Educ Scholarship</t>
  </si>
  <si>
    <t>09130</t>
  </si>
  <si>
    <t>MEI Site Planning Grant Fund</t>
  </si>
  <si>
    <t>09131</t>
  </si>
  <si>
    <t>Feed The Hungry Fund</t>
  </si>
  <si>
    <t>09140</t>
  </si>
  <si>
    <t>Putative Father Registry Fund</t>
  </si>
  <si>
    <t>09141</t>
  </si>
  <si>
    <t>Major Eligible Employer Grant</t>
  </si>
  <si>
    <t>09142</t>
  </si>
  <si>
    <t>Help Eliminate Auto Theft Fd</t>
  </si>
  <si>
    <t>09143</t>
  </si>
  <si>
    <t>St Water Ctrl Board Permit Pgm</t>
  </si>
  <si>
    <t>09150</t>
  </si>
  <si>
    <t>Cmnwlth Neurotrauma Initiative</t>
  </si>
  <si>
    <t>09151</t>
  </si>
  <si>
    <t>Federal Repayment Reserve Fund</t>
  </si>
  <si>
    <t>09154</t>
  </si>
  <si>
    <t>Dedicated Special Revenue-DMV</t>
  </si>
  <si>
    <t>09155</t>
  </si>
  <si>
    <t>Dedicated Special Revenue-TB</t>
  </si>
  <si>
    <t>09156</t>
  </si>
  <si>
    <t>Dedicated Special Revenue-VSP</t>
  </si>
  <si>
    <t>09160</t>
  </si>
  <si>
    <t>Marine Habitat and Waterways</t>
  </si>
  <si>
    <t>09161</t>
  </si>
  <si>
    <t>Dedicated Special Revenue-TAX</t>
  </si>
  <si>
    <t>09163</t>
  </si>
  <si>
    <t>Insurance Fraud Fund</t>
  </si>
  <si>
    <t>09166</t>
  </si>
  <si>
    <t>VA Military Family Relief Fund</t>
  </si>
  <si>
    <t>09168</t>
  </si>
  <si>
    <t>VA Rmvl/Rehab Derelict Strctrs</t>
  </si>
  <si>
    <t>09180</t>
  </si>
  <si>
    <t>VA Land Conservation-Unrestric</t>
  </si>
  <si>
    <t>09190</t>
  </si>
  <si>
    <t>Vehcl Emissions Inspection Pgm</t>
  </si>
  <si>
    <t>09191</t>
  </si>
  <si>
    <t>Dedicated Special Revenue-VWC</t>
  </si>
  <si>
    <t>09194</t>
  </si>
  <si>
    <t>Dedicated Special Revenue-DGS</t>
  </si>
  <si>
    <t>09199</t>
  </si>
  <si>
    <t>Dedicated Special Revenue-DCR</t>
  </si>
  <si>
    <t>09200</t>
  </si>
  <si>
    <t>Capital Improvement Fund</t>
  </si>
  <si>
    <t>09201</t>
  </si>
  <si>
    <t>Gvnr Agri&amp;Forestry Ind Dvlpmnt</t>
  </si>
  <si>
    <t>09202</t>
  </si>
  <si>
    <t>Uninsured Employer's Fund</t>
  </si>
  <si>
    <t>09220</t>
  </si>
  <si>
    <t>Special License Plates Fund</t>
  </si>
  <si>
    <t>09221</t>
  </si>
  <si>
    <t>VA Fish Passage Grnt&amp;Rvlvng Ln</t>
  </si>
  <si>
    <t>09222</t>
  </si>
  <si>
    <t>DPOR Dedicated Spec Rev Fund</t>
  </si>
  <si>
    <t>09223</t>
  </si>
  <si>
    <t>DHP Dedicated Spec Rev Fund</t>
  </si>
  <si>
    <t>09224</t>
  </si>
  <si>
    <t>Water Supply Assistance Grant</t>
  </si>
  <si>
    <t>09225</t>
  </si>
  <si>
    <t>Sm Watersheds Fld Ctrl&amp;Area Dv</t>
  </si>
  <si>
    <t>09226</t>
  </si>
  <si>
    <t>BOA Dedicated Special Rev Fund</t>
  </si>
  <si>
    <t>09227</t>
  </si>
  <si>
    <t>Main Street Station Property</t>
  </si>
  <si>
    <t>09228</t>
  </si>
  <si>
    <t>Methamphetamine Cleanup Fund</t>
  </si>
  <si>
    <t>09240</t>
  </si>
  <si>
    <t>Bill &amp; Melinda Gates Foundtion</t>
  </si>
  <si>
    <t>09250</t>
  </si>
  <si>
    <t>Litter Control And Recycling</t>
  </si>
  <si>
    <t>09251</t>
  </si>
  <si>
    <t>WIC Food Pgm-Infnt Formula Rbt</t>
  </si>
  <si>
    <t>09253</t>
  </si>
  <si>
    <t>VA Manufctrd Housing Trn Rcvry</t>
  </si>
  <si>
    <t>09254</t>
  </si>
  <si>
    <t>Sl/Wtr Cons Dst Dam Mnt/Sm Rpr</t>
  </si>
  <si>
    <t>09255</t>
  </si>
  <si>
    <t>Home Energy Assistance Fund</t>
  </si>
  <si>
    <t>09256</t>
  </si>
  <si>
    <t>VA 400th Anniversary Fund</t>
  </si>
  <si>
    <t>09260</t>
  </si>
  <si>
    <t>VA Comms Sales And Use Tax</t>
  </si>
  <si>
    <t>09261</t>
  </si>
  <si>
    <t>Dam Safety Administrative Fund</t>
  </si>
  <si>
    <t>09262</t>
  </si>
  <si>
    <t>VA Forest Water Quality Fund</t>
  </si>
  <si>
    <t>09270</t>
  </si>
  <si>
    <t>Agricultural Dealers Fund</t>
  </si>
  <si>
    <t>09271</t>
  </si>
  <si>
    <t>Preservation Easement Fund</t>
  </si>
  <si>
    <t>09272</t>
  </si>
  <si>
    <t>VA Growth &amp; Opportunity Fund</t>
  </si>
  <si>
    <t>09280</t>
  </si>
  <si>
    <t>Wireless E-911 Fund</t>
  </si>
  <si>
    <t>09281</t>
  </si>
  <si>
    <t>09282</t>
  </si>
  <si>
    <t>Virginia Seed Law Fund</t>
  </si>
  <si>
    <t>09300</t>
  </si>
  <si>
    <t>VA Crime Victim - Witness Fund</t>
  </si>
  <si>
    <t>09301</t>
  </si>
  <si>
    <t>Dedicatd Special Revenue-VDACS</t>
  </si>
  <si>
    <t>09302</t>
  </si>
  <si>
    <t>Sm Business Envnmtl Compliance</t>
  </si>
  <si>
    <t>09307</t>
  </si>
  <si>
    <t>Dedicated Special Revenue-VAC</t>
  </si>
  <si>
    <t>09310</t>
  </si>
  <si>
    <t>Pub Ed Soq/Lcl Re Ppty Tax Rlf</t>
  </si>
  <si>
    <t>09311</t>
  </si>
  <si>
    <t>VA Technology Infrastructure</t>
  </si>
  <si>
    <t>09312</t>
  </si>
  <si>
    <t>Radioactve Mtls Fclty Licensre</t>
  </si>
  <si>
    <t>09320</t>
  </si>
  <si>
    <t>Work Cap Advance &amp; Recoveries</t>
  </si>
  <si>
    <t>09321</t>
  </si>
  <si>
    <t>Nursing Scholarship&amp;Loan Repay</t>
  </si>
  <si>
    <t>09322</t>
  </si>
  <si>
    <t>TICR Fund</t>
  </si>
  <si>
    <t>09330</t>
  </si>
  <si>
    <t>Cig Fr Sfty Stndrd/Frftr Protn</t>
  </si>
  <si>
    <t>09331</t>
  </si>
  <si>
    <t>VA Tax Check-Off For Housing</t>
  </si>
  <si>
    <t>09332</t>
  </si>
  <si>
    <t>Priority Access Stakeholdr Sys</t>
  </si>
  <si>
    <t>09340</t>
  </si>
  <si>
    <t>VA Water Quality Improve Fund</t>
  </si>
  <si>
    <t>09341</t>
  </si>
  <si>
    <t>Med&amp;Pa Scholarship&amp;Loan Repay</t>
  </si>
  <si>
    <t>09350</t>
  </si>
  <si>
    <t>Intensfied Drug Enfrcmnt Juris</t>
  </si>
  <si>
    <t>09351</t>
  </si>
  <si>
    <t>WaterQualityImprovementReserve</t>
  </si>
  <si>
    <t>09352</t>
  </si>
  <si>
    <t>Dedicated Special Revenue-SBD</t>
  </si>
  <si>
    <t>09360</t>
  </si>
  <si>
    <t>VA Natural Resources Commitmnt</t>
  </si>
  <si>
    <t>09362</t>
  </si>
  <si>
    <t>09370</t>
  </si>
  <si>
    <t>Special Damages Fund</t>
  </si>
  <si>
    <t>09380</t>
  </si>
  <si>
    <t>Dentl Scholarship &amp; Loan Repay</t>
  </si>
  <si>
    <t>09390</t>
  </si>
  <si>
    <t>Crime Victim Comp-FOIA Exempt</t>
  </si>
  <si>
    <t>09400</t>
  </si>
  <si>
    <t>VA Jobs Investment Prog Fund</t>
  </si>
  <si>
    <t>09401</t>
  </si>
  <si>
    <t>Feed Lime Fertlzr &amp; Animal Rem</t>
  </si>
  <si>
    <t>09402</t>
  </si>
  <si>
    <t>MRC Dedicated Special Rev Fund</t>
  </si>
  <si>
    <t>09403</t>
  </si>
  <si>
    <t>Dedicated Special Revenue-DGIF</t>
  </si>
  <si>
    <t>09404</t>
  </si>
  <si>
    <t>Reg Criminal Justce Acdmy Trng</t>
  </si>
  <si>
    <t>09409</t>
  </si>
  <si>
    <t>Dedicated Special Revenue-DMME</t>
  </si>
  <si>
    <t>09410</t>
  </si>
  <si>
    <t>Veterans Services Fund</t>
  </si>
  <si>
    <t>09420</t>
  </si>
  <si>
    <t>Tobac Indmnfction/Comm Revital</t>
  </si>
  <si>
    <t>09430</t>
  </si>
  <si>
    <t>Virginia Tobacco Settlement</t>
  </si>
  <si>
    <t>09431</t>
  </si>
  <si>
    <t>EDA-Titl IX Gnt-Sequestrd Prtn</t>
  </si>
  <si>
    <t>09440</t>
  </si>
  <si>
    <t>VA Econ Dev Incentive Grant</t>
  </si>
  <si>
    <t>09450</t>
  </si>
  <si>
    <t>Safe Drnkng Water St Revolving</t>
  </si>
  <si>
    <t>09454</t>
  </si>
  <si>
    <t>Master Jet Base Landing Fields</t>
  </si>
  <si>
    <t>09460</t>
  </si>
  <si>
    <t>Military Strateg Respons Recov</t>
  </si>
  <si>
    <t>09461</t>
  </si>
  <si>
    <t>Biofuels Production Fund</t>
  </si>
  <si>
    <t>09470</t>
  </si>
  <si>
    <t>Robert Wood Johnson-Max Enroll</t>
  </si>
  <si>
    <t>09471</t>
  </si>
  <si>
    <t>Econ &amp; Infrastruc Dev Grant Fd</t>
  </si>
  <si>
    <t>09490</t>
  </si>
  <si>
    <t>Virginia Health Care Fund</t>
  </si>
  <si>
    <t>09500</t>
  </si>
  <si>
    <t>Mnerls Excl Coal Abandon Lands</t>
  </si>
  <si>
    <t>09510</t>
  </si>
  <si>
    <t>CW Technology Research Fd 934</t>
  </si>
  <si>
    <t>09511</t>
  </si>
  <si>
    <t>CW Technology Research Fd 274</t>
  </si>
  <si>
    <t>09512</t>
  </si>
  <si>
    <t>Research Commercialization 192</t>
  </si>
  <si>
    <t>09513</t>
  </si>
  <si>
    <t>Research Commercialization 937</t>
  </si>
  <si>
    <t>09520</t>
  </si>
  <si>
    <t>Orphaned Well Fund</t>
  </si>
  <si>
    <t>09530</t>
  </si>
  <si>
    <t>09540</t>
  </si>
  <si>
    <t>Sec of CW Technology Trst Fund</t>
  </si>
  <si>
    <t>09550</t>
  </si>
  <si>
    <t>VA Forest Mitigation Acq Fund</t>
  </si>
  <si>
    <t>09570</t>
  </si>
  <si>
    <t>VSBFA-VA Small Business Growth</t>
  </si>
  <si>
    <t>09590</t>
  </si>
  <si>
    <t>Long Term Mitigation Fund</t>
  </si>
  <si>
    <t>09600</t>
  </si>
  <si>
    <t>Coal Pool Bond Administration</t>
  </si>
  <si>
    <t>09601</t>
  </si>
  <si>
    <t>Dedicated Special Revenue-VDH</t>
  </si>
  <si>
    <t>09630</t>
  </si>
  <si>
    <t>Conservation &amp; Recreation</t>
  </si>
  <si>
    <t>09640</t>
  </si>
  <si>
    <t>VA Water Facilities Revolving</t>
  </si>
  <si>
    <t>09650</t>
  </si>
  <si>
    <t>Central Capital Planning Fund</t>
  </si>
  <si>
    <t>09660</t>
  </si>
  <si>
    <t>Intrnet Crimes Against Childrn</t>
  </si>
  <si>
    <t>09700</t>
  </si>
  <si>
    <t>Parking-DGIF</t>
  </si>
  <si>
    <t>09750</t>
  </si>
  <si>
    <t>Court Fees Suspense Fund</t>
  </si>
  <si>
    <t>09765</t>
  </si>
  <si>
    <t>Dedicated Special Revenue-DSS</t>
  </si>
  <si>
    <t>09770</t>
  </si>
  <si>
    <t>Net Crimes Agnst Chldrn Invst</t>
  </si>
  <si>
    <t>09799</t>
  </si>
  <si>
    <t>DOC Dedicated Spec Rev Fund</t>
  </si>
  <si>
    <t>09800</t>
  </si>
  <si>
    <t>NVTA Fund - 2013 Session</t>
  </si>
  <si>
    <t>09810</t>
  </si>
  <si>
    <t>Hampton Rds Fund-2013 Session</t>
  </si>
  <si>
    <t>09820</t>
  </si>
  <si>
    <t>Hampton Rds Fund-2014 Session</t>
  </si>
  <si>
    <t>09860</t>
  </si>
  <si>
    <t>Recyc Matl Sales-Non-Ge-Non-HE</t>
  </si>
  <si>
    <t>09880</t>
  </si>
  <si>
    <t>Srpls Sup&amp;Equip Sale-Non-Gen</t>
  </si>
  <si>
    <t>09900</t>
  </si>
  <si>
    <t>09912</t>
  </si>
  <si>
    <t>Dedicated Special Revenue-DVS</t>
  </si>
  <si>
    <t>09949</t>
  </si>
  <si>
    <t>Cen Cap Outlay Ded Spec Rev</t>
  </si>
  <si>
    <t>Federal Trust</t>
  </si>
  <si>
    <t>10001</t>
  </si>
  <si>
    <t>Federal Trust - Transportation</t>
  </si>
  <si>
    <t>10002</t>
  </si>
  <si>
    <t>Federal Trust - VSU</t>
  </si>
  <si>
    <t>10003</t>
  </si>
  <si>
    <t>Federal Trust - ABC</t>
  </si>
  <si>
    <t>10006</t>
  </si>
  <si>
    <t>Federal Trust - VPA</t>
  </si>
  <si>
    <t>10007</t>
  </si>
  <si>
    <t>Federal Trust - VFHY</t>
  </si>
  <si>
    <t>10008</t>
  </si>
  <si>
    <t>Federal Trust - VPISU/CE</t>
  </si>
  <si>
    <t>10010</t>
  </si>
  <si>
    <t>Medical Assistance Pgm - ARRA</t>
  </si>
  <si>
    <t>10040</t>
  </si>
  <si>
    <t>Broadbnd Data&amp;Devel Grnt- ARRA</t>
  </si>
  <si>
    <t>10070</t>
  </si>
  <si>
    <t>CFDA Comm Dev Bg St Hi Re-ARRA</t>
  </si>
  <si>
    <t>10400</t>
  </si>
  <si>
    <t>Promotion of the Arts - ARRA</t>
  </si>
  <si>
    <t>10410</t>
  </si>
  <si>
    <t>Grnt St-Cnstrctn Home Fac-ARRA</t>
  </si>
  <si>
    <t>10520</t>
  </si>
  <si>
    <t>Title I - Grants to LEAS- ARRA</t>
  </si>
  <si>
    <t>10600</t>
  </si>
  <si>
    <t>10610</t>
  </si>
  <si>
    <t>DOE School Imprvmnt Grnts-ARRA</t>
  </si>
  <si>
    <t>10880</t>
  </si>
  <si>
    <t>Sur Supp&amp;Equip Sales-Fed</t>
  </si>
  <si>
    <t>10881</t>
  </si>
  <si>
    <t>Surp Supp&amp;Equip Sales-Fed-HE</t>
  </si>
  <si>
    <t>Wthrztion Asst Lw-In-ARRA DHCD</t>
  </si>
  <si>
    <t>10941</t>
  </si>
  <si>
    <t>Hwy Planning &amp; Constr-ARRA DCR</t>
  </si>
  <si>
    <t>10960</t>
  </si>
  <si>
    <t>Fiscal Stablzatn Gen- ARRA DOE</t>
  </si>
  <si>
    <t>10970</t>
  </si>
  <si>
    <t>Title IV-D Chld Suppt Enf-ARRA</t>
  </si>
  <si>
    <t>12010</t>
  </si>
  <si>
    <t>12080</t>
  </si>
  <si>
    <t>Energize VA Revlving Loan-ARRA</t>
  </si>
  <si>
    <t>12400</t>
  </si>
  <si>
    <t>Formula Grants Nonurban - ARRA</t>
  </si>
  <si>
    <t>12490</t>
  </si>
  <si>
    <t>Elec Dlvry &amp; Enrgy Rsrch-ARRA</t>
  </si>
  <si>
    <t>12840</t>
  </si>
  <si>
    <t>High-Speed Rail - ARRA</t>
  </si>
  <si>
    <t>Health Info Tech&amp;Pub Hlth-ARRA</t>
  </si>
  <si>
    <t>12920</t>
  </si>
  <si>
    <t>EECBG REA Loan Loss Rsrve-ARRA</t>
  </si>
  <si>
    <t>13020</t>
  </si>
  <si>
    <t>Build America Bonds Fund</t>
  </si>
  <si>
    <t>13021</t>
  </si>
  <si>
    <t>Build America Bd Fd NVTD</t>
  </si>
  <si>
    <t>13022</t>
  </si>
  <si>
    <t>Build America Bd FD CPR</t>
  </si>
  <si>
    <t>13025</t>
  </si>
  <si>
    <t>Build America Bonds Fund-ARRA</t>
  </si>
  <si>
    <t>15000</t>
  </si>
  <si>
    <t>General Fixed Asset Acct Group</t>
  </si>
  <si>
    <t>15001</t>
  </si>
  <si>
    <t>Fixed Assets - VPA</t>
  </si>
  <si>
    <t>15002</t>
  </si>
  <si>
    <t>Fixed Assets - VCE</t>
  </si>
  <si>
    <t>15003</t>
  </si>
  <si>
    <t>Fixed Assets - TICR</t>
  </si>
  <si>
    <t>a)  Total cash equivalents and investments NOT with the Treasurer of Virginia, reported on the template.</t>
  </si>
  <si>
    <r>
      <t xml:space="preserve">If </t>
    </r>
    <r>
      <rPr>
        <b/>
        <sz val="10"/>
        <rFont val="Times New Roman"/>
        <family val="1"/>
      </rPr>
      <t>Yes</t>
    </r>
    <r>
      <rPr>
        <sz val="10"/>
        <rFont val="Times New Roman"/>
        <family val="1"/>
      </rPr>
      <t>, then specify below, including investment type category and amount.</t>
    </r>
  </si>
  <si>
    <t>in the total cash equivalents and investments NOT with the Treasurer of Virginia listed in Part 6a above?</t>
  </si>
  <si>
    <t>(Should agree to the amount reported in 2.2 above, if not an "Error" message will appear).</t>
  </si>
  <si>
    <t xml:space="preserve">    If it does not, an "Error" message will appear in the blue box to the right.</t>
  </si>
  <si>
    <t>If it does not, an "Error" message will appear in the blue box to the right.</t>
  </si>
  <si>
    <r>
      <t xml:space="preserve">b)  Investment Derivative Instruments: Are any investment derivative instruments, as defined in </t>
    </r>
    <r>
      <rPr>
        <b/>
        <u/>
        <sz val="10"/>
        <rFont val="Times New Roman"/>
        <family val="1"/>
      </rPr>
      <t>GASBS No. 53</t>
    </r>
    <r>
      <rPr>
        <sz val="10"/>
        <rFont val="Times New Roman"/>
        <family val="1"/>
      </rPr>
      <t xml:space="preserve">, included </t>
    </r>
  </si>
  <si>
    <t>If Known,
Fund
Transferred 
In From</t>
  </si>
  <si>
    <t>If Known,
Fund
Transferred 
Out To</t>
  </si>
  <si>
    <t>Business Unit No. Transferred 
In From</t>
  </si>
  <si>
    <t>Business Unit No. Transferred 
Out To</t>
  </si>
  <si>
    <t>Business Unit Name/Entity Transferred In From</t>
  </si>
  <si>
    <t>Business Unit Name/Entity Transferred Out To</t>
  </si>
  <si>
    <t>Business Unit Name/Entity Amount is
 Due From</t>
  </si>
  <si>
    <t>Business Unit Name/Entity Amount is 
Due To</t>
  </si>
  <si>
    <t>Yes, No, or N/A</t>
  </si>
  <si>
    <t xml:space="preserve">    This amount MUST agree to the total reported amount on "Tab 1B-CE &amp; Inv Not W Treas." plus Nonnegotiable Certificates of Deposit in part 2.1a.</t>
  </si>
  <si>
    <t>Gunston Hall Off-Cardinal Museum Collection Fund - Special Revenue</t>
  </si>
  <si>
    <t>Fund Name Amount is 
Due From</t>
  </si>
  <si>
    <t>Fund Name Amount is 
Due To</t>
  </si>
  <si>
    <t>Total fair value amount per Tab 1B-CE &amp; Inv Not W Treas (Linked to Tab 1B-CE &amp; Inv Not W Treas, sum of Level 1, Level 2, and Level 3)</t>
  </si>
  <si>
    <t>Common Interest Recovery Fund - Special Revenue</t>
  </si>
  <si>
    <r>
      <t>GASBS No. 49</t>
    </r>
    <r>
      <rPr>
        <sz val="10"/>
        <rFont val="Times New Roman"/>
        <family val="1"/>
      </rPr>
      <t>,</t>
    </r>
    <r>
      <rPr>
        <b/>
        <sz val="10"/>
        <rFont val="Times New Roman"/>
        <family val="1"/>
      </rPr>
      <t xml:space="preserve"> </t>
    </r>
    <r>
      <rPr>
        <i/>
        <sz val="10"/>
        <rFont val="Times New Roman"/>
        <family val="1"/>
      </rPr>
      <t>Accounting and Financial Reporting for Pollution Remediation Obligations</t>
    </r>
    <r>
      <rPr>
        <sz val="10"/>
        <rFont val="Times New Roman"/>
        <family val="1"/>
      </rPr>
      <t>.  (</t>
    </r>
    <r>
      <rPr>
        <b/>
        <u/>
        <sz val="10"/>
        <rFont val="Times New Roman"/>
        <family val="1"/>
      </rPr>
      <t>Note</t>
    </r>
    <r>
      <rPr>
        <sz val="10"/>
        <rFont val="Times New Roman"/>
        <family val="1"/>
      </rPr>
      <t>:  DOA may request additional information based on the answers provided.)</t>
    </r>
  </si>
  <si>
    <r>
      <t>GASBS No. 63</t>
    </r>
    <r>
      <rPr>
        <sz val="10"/>
        <rFont val="Times New Roman"/>
        <family val="1"/>
      </rPr>
      <t xml:space="preserve">, </t>
    </r>
    <r>
      <rPr>
        <i/>
        <sz val="10"/>
        <rFont val="Times New Roman"/>
        <family val="1"/>
      </rPr>
      <t>Financial Reporting of Deferred Outflows of Resources, Deferred Inflows of Resources, and Net Position</t>
    </r>
  </si>
  <si>
    <t>Total cash held by the Treasurer of Virginia (must agree to Cardinal Account 101010).</t>
  </si>
  <si>
    <t>Explanation</t>
  </si>
  <si>
    <r>
      <rPr>
        <b/>
        <sz val="10"/>
        <rFont val="Times New Roman"/>
        <family val="1"/>
      </rPr>
      <t>For Pools</t>
    </r>
    <r>
      <rPr>
        <sz val="10"/>
        <rFont val="Times New Roman"/>
        <family val="1"/>
      </rPr>
      <t xml:space="preserve">: External Investment Pools  that meet </t>
    </r>
    <r>
      <rPr>
        <b/>
        <u/>
        <sz val="10"/>
        <rFont val="Times New Roman"/>
        <family val="1"/>
      </rPr>
      <t>GASBS No. 79</t>
    </r>
    <r>
      <rPr>
        <sz val="10"/>
        <rFont val="Times New Roman"/>
        <family val="1"/>
      </rPr>
      <t xml:space="preserve"> requirements to report all investments at amortized cost</t>
    </r>
  </si>
  <si>
    <r>
      <rPr>
        <b/>
        <sz val="10"/>
        <rFont val="Times New Roman"/>
        <family val="1"/>
      </rPr>
      <t>For Pool Participants</t>
    </r>
    <r>
      <rPr>
        <sz val="10"/>
        <rFont val="Times New Roman"/>
        <family val="1"/>
      </rPr>
      <t xml:space="preserve">: Investments in External Investment Pools that meet </t>
    </r>
    <r>
      <rPr>
        <b/>
        <u/>
        <sz val="10"/>
        <rFont val="Times New Roman"/>
        <family val="1"/>
      </rPr>
      <t>GASBS No. 79</t>
    </r>
    <r>
      <rPr>
        <sz val="10"/>
        <rFont val="Times New Roman"/>
        <family val="1"/>
      </rPr>
      <t xml:space="preserve"> requirements to report all investments at amortized cost</t>
    </r>
  </si>
  <si>
    <r>
      <rPr>
        <b/>
        <sz val="10"/>
        <rFont val="Times New Roman"/>
        <family val="1"/>
      </rPr>
      <t>For Pools</t>
    </r>
    <r>
      <rPr>
        <sz val="10"/>
        <rFont val="Times New Roman"/>
        <family val="1"/>
      </rPr>
      <t>: External Investment Pools Short-term debt investments with remaining maturities up to 90 days</t>
    </r>
  </si>
  <si>
    <t>1a</t>
  </si>
  <si>
    <t>6b</t>
  </si>
  <si>
    <t>If there is a difference, provide an explanation for the difference.  Specify the other financial statement line items that include amounts reported using the fair value hierarchy and the fair value level used to report those amounts, if any.</t>
  </si>
  <si>
    <r>
      <t xml:space="preserve">If </t>
    </r>
    <r>
      <rPr>
        <b/>
        <sz val="10"/>
        <rFont val="Times New Roman"/>
        <family val="1"/>
      </rPr>
      <t>yes</t>
    </r>
    <r>
      <rPr>
        <sz val="10"/>
        <rFont val="Times New Roman"/>
        <family val="1"/>
      </rPr>
      <t xml:space="preserve">, provide the following information for all items that are reported on the financial statement template. Additionally, provide required footnote disclosures pursuant to </t>
    </r>
    <r>
      <rPr>
        <b/>
        <u/>
        <sz val="10"/>
        <rFont val="Times New Roman"/>
        <family val="1"/>
      </rPr>
      <t>GASBS No. 72</t>
    </r>
    <r>
      <rPr>
        <sz val="10"/>
        <rFont val="Times New Roman"/>
        <family val="1"/>
      </rPr>
      <t xml:space="preserve"> paragraph 82 in a separate Word document accompanying this attachment.</t>
    </r>
  </si>
  <si>
    <t>General description of items reported at NAV per share (or its equivalent)</t>
  </si>
  <si>
    <t>Total fair value amount using NAV per share per Tab 1B-CE &amp; Inv Not W Treas (Linked to Tab 1B-CE &amp; Inv Not W Treas)</t>
  </si>
  <si>
    <t>If there is a difference, provide an explanation for the difference.  Specify the other financial statement line items that include amounts reported at NAV per share (or its equivalent), if any.</t>
  </si>
  <si>
    <r>
      <rPr>
        <b/>
        <u/>
        <sz val="10"/>
        <rFont val="Times New Roman"/>
        <family val="1"/>
      </rPr>
      <t>Note D</t>
    </r>
    <r>
      <rPr>
        <sz val="10"/>
        <rFont val="Times New Roman"/>
        <family val="1"/>
      </rPr>
      <t xml:space="preserve">)  These are items that are permitted to be reported at net asset value (or its equivalent) in accordance with </t>
    </r>
    <r>
      <rPr>
        <b/>
        <u/>
        <sz val="10"/>
        <rFont val="Times New Roman"/>
        <family val="1"/>
      </rPr>
      <t xml:space="preserve">GASBS No. 72 </t>
    </r>
  </si>
  <si>
    <t xml:space="preserve">Argentine Peso </t>
  </si>
  <si>
    <t xml:space="preserve">Mexican Peso </t>
  </si>
  <si>
    <t xml:space="preserve">South African Rand </t>
  </si>
  <si>
    <t>Refer to the applicable Implementation Guide issued by GASB, if additional guidance is necessary.</t>
  </si>
  <si>
    <t>02189</t>
  </si>
  <si>
    <t>Sec NR Special Revenue Fund</t>
  </si>
  <si>
    <t>02448</t>
  </si>
  <si>
    <t>VA-Asian Advisory Board Fund</t>
  </si>
  <si>
    <t>02998</t>
  </si>
  <si>
    <t>Special Rev - Budgetary Only</t>
  </si>
  <si>
    <t>03998</t>
  </si>
  <si>
    <t>Higher Educ - Budgetary Only</t>
  </si>
  <si>
    <t>04314</t>
  </si>
  <si>
    <t>I-66 Outside Beltway Concess</t>
  </si>
  <si>
    <t>04470</t>
  </si>
  <si>
    <t>I-64 Express - Toll Facility</t>
  </si>
  <si>
    <t>04471</t>
  </si>
  <si>
    <t>I-64 Express - Construction</t>
  </si>
  <si>
    <t>04472</t>
  </si>
  <si>
    <t>I-64 Express - Revenue Fund</t>
  </si>
  <si>
    <t>04473</t>
  </si>
  <si>
    <t>I-64 Express -  Maint Rep Fund</t>
  </si>
  <si>
    <t>04998</t>
  </si>
  <si>
    <t>Highway M &amp; C - Budgetary Only</t>
  </si>
  <si>
    <t>05400</t>
  </si>
  <si>
    <t>Hlth Ins Fd-Local Hlth Option</t>
  </si>
  <si>
    <t>05420</t>
  </si>
  <si>
    <t>Admin of Local Health Option</t>
  </si>
  <si>
    <t>05998</t>
  </si>
  <si>
    <t>Enterprise - Budgetary Only</t>
  </si>
  <si>
    <t>06129</t>
  </si>
  <si>
    <t>Prsnl Mngmt Inf Systm ISF</t>
  </si>
  <si>
    <t>06137</t>
  </si>
  <si>
    <t>VITA Overhead</t>
  </si>
  <si>
    <t>06998</t>
  </si>
  <si>
    <t>Internl Serv - Budgetary Only</t>
  </si>
  <si>
    <t>07998</t>
  </si>
  <si>
    <t>TrustAgency - Budgetary Only</t>
  </si>
  <si>
    <t>08998</t>
  </si>
  <si>
    <t>Debt Serv - Budgetary Only</t>
  </si>
  <si>
    <t>09170</t>
  </si>
  <si>
    <t>VA Land Conservation - Restric</t>
  </si>
  <si>
    <t>09366</t>
  </si>
  <si>
    <t>Mitigation Comp Fund Hist Prop</t>
  </si>
  <si>
    <t>09616</t>
  </si>
  <si>
    <t>DRIVE SMART VA Education Fund</t>
  </si>
  <si>
    <t>09998</t>
  </si>
  <si>
    <t>Ded Spec Rev - Budgetary Only</t>
  </si>
  <si>
    <t>10998</t>
  </si>
  <si>
    <t>Federal Trust - Budgetary Only</t>
  </si>
  <si>
    <t>Bus. Unit</t>
  </si>
  <si>
    <t>Control Bus. Unit</t>
  </si>
  <si>
    <t>SENATE OF VIRGINIA</t>
  </si>
  <si>
    <t>VIRGINIA MANAGEMENT FELLOWS PROGRAM ADMINISTRATION</t>
  </si>
  <si>
    <t>VETERANS SERVICES FOUNDATION</t>
  </si>
  <si>
    <t>LIEUTENANT GOVERNOR</t>
  </si>
  <si>
    <t>ATTORNEY GENERAL AND DEPARTMENT OF LAW</t>
  </si>
  <si>
    <t>Kimberly Jezek</t>
  </si>
  <si>
    <t>Danielle Robertson</t>
  </si>
  <si>
    <t>CHILDREN'S SERVICES ACT</t>
  </si>
  <si>
    <t>ONLINE VIRGINIA NETWORK AUTHORITY</t>
  </si>
  <si>
    <t>AGRICULTURAL COUNCIL</t>
  </si>
  <si>
    <t>ECONOMIC DEVELOPMENT INCENTIVE PAYMENTS</t>
  </si>
  <si>
    <t>Sheri Crocker</t>
  </si>
  <si>
    <t>DEPARTMENT OF FORESTRY</t>
  </si>
  <si>
    <t>COMMISSION ON THE VIRGINIA ALCOHOL SAFETY ACTION PROGRAM</t>
  </si>
  <si>
    <t>DEPARTMENT OF CORRECTIONS--CENTRAL ADMINISTRATION</t>
  </si>
  <si>
    <t>John C. Moore</t>
  </si>
  <si>
    <t>CITIZENS' ADVISORY COUNCIL ON FURNISHING AND INTERPRETING THE EXECUTIVE MANSION</t>
  </si>
  <si>
    <t>VIRGINIA WORLD WAR I AND WORLD WAR II COMMEMORATION COMMISSION</t>
  </si>
  <si>
    <t>CENTRAL CAPITAL OUTLAY</t>
  </si>
  <si>
    <t>9(C) REVENUE BONDS</t>
  </si>
  <si>
    <t>9(D) REVENUE BONDS</t>
  </si>
  <si>
    <t>CENTRAL APPROPRIATIONS</t>
  </si>
  <si>
    <t>23X2</t>
  </si>
  <si>
    <t>23X1</t>
  </si>
  <si>
    <t>23X4</t>
  </si>
  <si>
    <t>23X5</t>
  </si>
  <si>
    <t>23X6</t>
  </si>
  <si>
    <t>23X7</t>
  </si>
  <si>
    <t>23X9</t>
  </si>
  <si>
    <t>23X10</t>
  </si>
  <si>
    <t>23X11</t>
  </si>
  <si>
    <t>23X12</t>
  </si>
  <si>
    <t>23X13</t>
  </si>
  <si>
    <t>23X14</t>
  </si>
  <si>
    <t>23X15</t>
  </si>
  <si>
    <t>23X16</t>
  </si>
  <si>
    <r>
      <t>Descriptions</t>
    </r>
    <r>
      <rPr>
        <sz val="10"/>
        <rFont val="Times New Roman"/>
        <family val="1"/>
      </rPr>
      <t>:  For any extraordinary or special items, are they appropriately recorded on the template per the descriptions below?</t>
    </r>
  </si>
  <si>
    <t>Part 1)  Derivative Instruments as of June 30, 2018 &amp; existed as of June 30, 2016 - Did any of the derivative instruments that existed as of June 30, 2018 also exist as of June 30, 2016?  If yes, indicate which derivative instrument also existed as of June 30, 2016.</t>
  </si>
  <si>
    <t xml:space="preserve"> Part 2)  If yes to 11b - Part 1, was any investment derivative instrument - ineffective hedge as of June 30, 2018 considered a hedging derivative instrument - effective hedge as of June 30, 2016 (i.e. became an ineffective hedge as of June 30, 2018)?  If no, skip to 11c.</t>
  </si>
  <si>
    <t>Part 3) If yes to 11b - Part 2, was the deferral amount reported on an appropriate investment revenue template line item upon reclassification for FY 2018 (ineffective hedge - FYE 6/30/2018 &amp; effective hedge - FYE 6/30/2016)?  If yes, provide the deferral amount reported and the appropriate investment revenue template line item used for reclassification for FY 2018.  If no, explain.</t>
  </si>
  <si>
    <t>Part 1)  Derivative Instruments as of June 30, 2016 that ended or terminated during FY 2018 - Did the fund have any derivative instruments as of June 30, 2016, as defined in GASBS No. 53 that did not exist as of June 30, 2018?  If yes, indicate the overall derivative instrument category and provide the type (i.e. interest rate swap, interest rate lock, etc.) and notional amount in the space provided.  If no, skip to 11d.</t>
  </si>
  <si>
    <t>Part 2)  Hedging Derivative Instrument (effective hedge) - existed as of 6/30/2016 and terminated/ended during FY 2018 -  Did the fund have a hedging derivative instrument-effective hedge that existed as of June 30, 2016, and it did not exist as of June 30, 2018 (i.e. terminated or ended during fiscal year 2018)?  If yes, provide the following information:</t>
  </si>
  <si>
    <t>Provide the termination event and/or reason the hedging derivative instrument was terminated/ended during FY 2018</t>
  </si>
  <si>
    <t>Derivative Instruments - activity only during FY 2018 - Did the fund have any other derivative instrument activity during fiscal year 2018 that is not already described in the previous parts?  If yes, provide a description of the derivative instrument activity during the year not already mentioned in the previous parts.</t>
  </si>
  <si>
    <t>Evaluation of Effectiveness - potential hedging derivative instruments as of June 30, 2018 - Were all potential hedging derivative instruments that existed as of June 30, 2018, properly evaluated for  effectiveness as of June 30, 2018, in accordance with GASBS No. 53?  If yes, provide a description of the method used to determine effectiveness.  If no, explain.</t>
  </si>
  <si>
    <t>Reporting - Were all fund derivative instrument activity/balances during FY 2018 and as of June 30, 2018, properly reported on the template in accordance with GASBS No. 53?  If no, explain.</t>
  </si>
  <si>
    <t>Expenses for FY 2018:  Does the fund have any items that would have to be reported as expenses in accordance with GASBS No. 65 for FY 2018?</t>
  </si>
  <si>
    <t>Revenues for FY 2018:  Does the fund have items that would have to be reported as revenue in accordance with GASBS No. 65 for FY 2018?</t>
  </si>
  <si>
    <r>
      <t>Recognition Benchmarks</t>
    </r>
    <r>
      <rPr>
        <strike/>
        <sz val="10"/>
        <rFont val="Times New Roman"/>
        <family val="1"/>
      </rPr>
      <t xml:space="preserve">:  Have any of the following benchmarks as defined by </t>
    </r>
    <r>
      <rPr>
        <b/>
        <strike/>
        <u/>
        <sz val="10"/>
        <rFont val="Times New Roman"/>
        <family val="1"/>
      </rPr>
      <t>GASBS No. 49</t>
    </r>
    <r>
      <rPr>
        <strike/>
        <sz val="10"/>
        <rFont val="Times New Roman"/>
        <family val="1"/>
      </rPr>
      <t xml:space="preserve"> occurred:  1) receipt of an administrative order, 2) participation, as a responsible party or a potentially responsible party, in the site assessment or investigation, 3) completion of a corrective measures feasibility study, 4) issuance of an authorization to proceed, and/or 5) remediation design and implementation, through and including operation and maintenance, and postremediation monitoring?  If </t>
    </r>
    <r>
      <rPr>
        <b/>
        <strike/>
        <sz val="10"/>
        <rFont val="Times New Roman"/>
        <family val="1"/>
      </rPr>
      <t>yes</t>
    </r>
    <r>
      <rPr>
        <strike/>
        <sz val="10"/>
        <rFont val="Times New Roman"/>
        <family val="1"/>
      </rPr>
      <t xml:space="preserve">, continue to 9c.  If </t>
    </r>
    <r>
      <rPr>
        <b/>
        <strike/>
        <sz val="10"/>
        <rFont val="Times New Roman"/>
        <family val="1"/>
      </rPr>
      <t>no</t>
    </r>
    <r>
      <rPr>
        <strike/>
        <sz val="10"/>
        <rFont val="Times New Roman"/>
        <family val="1"/>
      </rPr>
      <t>, skip to 9d.</t>
    </r>
  </si>
  <si>
    <r>
      <t>Measurement</t>
    </r>
    <r>
      <rPr>
        <strike/>
        <sz val="10"/>
        <rFont val="Times New Roman"/>
        <family val="1"/>
      </rPr>
      <t xml:space="preserve">:   If </t>
    </r>
    <r>
      <rPr>
        <b/>
        <strike/>
        <sz val="10"/>
        <rFont val="Times New Roman"/>
        <family val="1"/>
      </rPr>
      <t>yes</t>
    </r>
    <r>
      <rPr>
        <strike/>
        <sz val="10"/>
        <rFont val="Times New Roman"/>
        <family val="1"/>
      </rPr>
      <t xml:space="preserve"> to 9b, has the pollution remediation liability been reasonably estimated in accordance with </t>
    </r>
    <r>
      <rPr>
        <b/>
        <strike/>
        <u/>
        <sz val="10"/>
        <rFont val="Times New Roman"/>
        <family val="1"/>
      </rPr>
      <t>GASBS No. 49</t>
    </r>
    <r>
      <rPr>
        <strike/>
        <sz val="10"/>
        <rFont val="Times New Roman"/>
        <family val="1"/>
      </rPr>
      <t xml:space="preserve">?   If </t>
    </r>
    <r>
      <rPr>
        <b/>
        <strike/>
        <sz val="10"/>
        <rFont val="Times New Roman"/>
        <family val="1"/>
      </rPr>
      <t>no</t>
    </r>
    <r>
      <rPr>
        <strike/>
        <sz val="10"/>
        <rFont val="Times New Roman"/>
        <family val="1"/>
      </rPr>
      <t>, explain the nature of the pollution remediation liabilities that cannot be reasonably estimated and must be disclosed.</t>
    </r>
  </si>
  <si>
    <r>
      <t>Remeasurement</t>
    </r>
    <r>
      <rPr>
        <strike/>
        <sz val="10"/>
        <rFont val="Times New Roman"/>
        <family val="1"/>
      </rPr>
      <t xml:space="preserve">:  Has your agency determined if a previous estimate of the pollution remediation liability should be revised based on recognition benchmarks being met or new information indicates a change is needed as required by </t>
    </r>
    <r>
      <rPr>
        <b/>
        <strike/>
        <u/>
        <sz val="10"/>
        <rFont val="Times New Roman"/>
        <family val="1"/>
      </rPr>
      <t>GASBS No. 49</t>
    </r>
    <r>
      <rPr>
        <strike/>
        <sz val="10"/>
        <rFont val="Times New Roman"/>
        <family val="1"/>
      </rPr>
      <t xml:space="preserve">?   If </t>
    </r>
    <r>
      <rPr>
        <b/>
        <strike/>
        <sz val="10"/>
        <rFont val="Times New Roman"/>
        <family val="1"/>
      </rPr>
      <t>no</t>
    </r>
    <r>
      <rPr>
        <strike/>
        <sz val="10"/>
        <rFont val="Times New Roman"/>
        <family val="1"/>
      </rPr>
      <t xml:space="preserve">, explain. </t>
    </r>
  </si>
  <si>
    <r>
      <t xml:space="preserve">Expected Recoveries:  </t>
    </r>
    <r>
      <rPr>
        <strike/>
        <sz val="10"/>
        <rFont val="Times New Roman"/>
        <family val="1"/>
      </rPr>
      <t xml:space="preserve">Does the agency expect recoveries as described in </t>
    </r>
    <r>
      <rPr>
        <b/>
        <strike/>
        <u/>
        <sz val="10"/>
        <rFont val="Times New Roman"/>
        <family val="1"/>
      </rPr>
      <t>GASBS No. 49</t>
    </r>
    <r>
      <rPr>
        <strike/>
        <sz val="10"/>
        <rFont val="Times New Roman"/>
        <family val="1"/>
      </rPr>
      <t xml:space="preserve"> paragraphs 19 to 20 from other responsible parties and/or insurance recoveries from policies that indemnify the agency for its pollution remediation obligations?  If </t>
    </r>
    <r>
      <rPr>
        <b/>
        <strike/>
        <sz val="10"/>
        <rFont val="Times New Roman"/>
        <family val="1"/>
      </rPr>
      <t>yes</t>
    </r>
    <r>
      <rPr>
        <strike/>
        <sz val="10"/>
        <rFont val="Times New Roman"/>
        <family val="1"/>
      </rPr>
      <t xml:space="preserve">, provide the following: expected recovery amount, source of expected recovery, and indicate if amount is realized or realizable. </t>
    </r>
  </si>
  <si>
    <r>
      <t>Accounting for Recoveries that Become Expected Later</t>
    </r>
    <r>
      <rPr>
        <strike/>
        <sz val="10"/>
        <rFont val="Times New Roman"/>
        <family val="1"/>
      </rPr>
      <t xml:space="preserve">:  Did the agency have any recoveries from responsible parties and/or insurance recoveries for pollution remediation liabilities that </t>
    </r>
    <r>
      <rPr>
        <b/>
        <strike/>
        <sz val="10"/>
        <rFont val="Times New Roman"/>
        <family val="1"/>
      </rPr>
      <t>no longer exist</t>
    </r>
    <r>
      <rPr>
        <strike/>
        <sz val="10"/>
        <rFont val="Times New Roman"/>
        <family val="1"/>
      </rPr>
      <t xml:space="preserve"> as described in </t>
    </r>
    <r>
      <rPr>
        <b/>
        <strike/>
        <u/>
        <sz val="10"/>
        <rFont val="Times New Roman"/>
        <family val="1"/>
      </rPr>
      <t>GASBS No. 49</t>
    </r>
    <r>
      <rPr>
        <strike/>
        <sz val="10"/>
        <rFont val="Times New Roman"/>
        <family val="1"/>
      </rPr>
      <t xml:space="preserve"> paragraph 21?  If </t>
    </r>
    <r>
      <rPr>
        <b/>
        <strike/>
        <sz val="10"/>
        <rFont val="Times New Roman"/>
        <family val="1"/>
      </rPr>
      <t>yes,</t>
    </r>
    <r>
      <rPr>
        <strike/>
        <sz val="10"/>
        <rFont val="Times New Roman"/>
        <family val="1"/>
      </rPr>
      <t xml:space="preserve"> provide a description, source of recoveries, $ amount, and financial statement template line items these amounts are reported on.</t>
    </r>
  </si>
  <si>
    <r>
      <t>Capitalization of Pollution Remediation Outlays</t>
    </r>
    <r>
      <rPr>
        <strike/>
        <sz val="10"/>
        <rFont val="Times New Roman"/>
        <family val="1"/>
      </rPr>
      <t xml:space="preserve">: Do any of the estimated pollution remediation outlays meet the capitalization criteria for goods/services as defined below?  Pollution remediation outlays should be capitalized when goods or services are acquired if acquired for any of the following:
• To prepare property in anticipation of a sale.
• To prepare property for use when the property was acquired with known or suspected pollution that was expected to be remediated.
• To perform pollution remediation that restores a pollution-caused decline in service utility that was recognized as an asset impairment.
• To acquire property, plant, and equipment that have a future alternative use.
Do not record a pollution remediation liability for expected outlays that can be capitalized.  Capitalize actual amounts when goods/services are acquired.  </t>
    </r>
  </si>
  <si>
    <r>
      <t>Reporting</t>
    </r>
    <r>
      <rPr>
        <strike/>
        <sz val="10"/>
        <rFont val="Times New Roman"/>
        <family val="1"/>
      </rPr>
      <t xml:space="preserve">:  Were pollution remediation obligations, outlays, and recoveries properly reported on the financial statement template in accordance with </t>
    </r>
    <r>
      <rPr>
        <b/>
        <strike/>
        <u/>
        <sz val="10"/>
        <rFont val="Times New Roman"/>
        <family val="1"/>
      </rPr>
      <t>GASBS No. 49</t>
    </r>
    <r>
      <rPr>
        <strike/>
        <sz val="10"/>
        <rFont val="Times New Roman"/>
        <family val="1"/>
      </rPr>
      <t>?  If</t>
    </r>
    <r>
      <rPr>
        <b/>
        <strike/>
        <sz val="10"/>
        <rFont val="Times New Roman"/>
        <family val="1"/>
      </rPr>
      <t xml:space="preserve"> no</t>
    </r>
    <r>
      <rPr>
        <strike/>
        <sz val="10"/>
        <rFont val="Times New Roman"/>
        <family val="1"/>
      </rPr>
      <t>, explain.</t>
    </r>
  </si>
  <si>
    <r>
      <t>Disclosures</t>
    </r>
    <r>
      <rPr>
        <strike/>
        <sz val="10"/>
        <rFont val="Times New Roman"/>
        <family val="1"/>
      </rPr>
      <t xml:space="preserve">:  Provide the following information and disclosures as required by </t>
    </r>
    <r>
      <rPr>
        <b/>
        <strike/>
        <u/>
        <sz val="10"/>
        <rFont val="Times New Roman"/>
        <family val="1"/>
      </rPr>
      <t>GASBS No. 49</t>
    </r>
    <r>
      <rPr>
        <strike/>
        <sz val="10"/>
        <rFont val="Times New Roman"/>
        <family val="1"/>
      </rPr>
      <t>:</t>
    </r>
  </si>
  <si>
    <r>
      <t xml:space="preserve">3)  Less: If applicable - expected recoveries not yet realized or realizable (see </t>
    </r>
    <r>
      <rPr>
        <b/>
        <strike/>
        <u/>
        <sz val="10"/>
        <rFont val="Times New Roman"/>
        <family val="1"/>
      </rPr>
      <t>GASBS No. 49</t>
    </r>
    <r>
      <rPr>
        <strike/>
        <sz val="10"/>
        <rFont val="Times New Roman"/>
        <family val="1"/>
      </rPr>
      <t xml:space="preserve"> paragraph 19a) - enter as a negative amount</t>
    </r>
  </si>
  <si>
    <r>
      <t xml:space="preserve">If yes to questions 12a through 12d, are </t>
    </r>
    <r>
      <rPr>
        <b/>
        <strike/>
        <sz val="10"/>
        <rFont val="Times New Roman"/>
        <family val="1"/>
      </rPr>
      <t>all</t>
    </r>
    <r>
      <rPr>
        <strike/>
        <sz val="10"/>
        <rFont val="Times New Roman"/>
        <family val="1"/>
      </rPr>
      <t xml:space="preserve"> contracts that qualify as a Service Concession Arrangement in which the fund is the transferor properly reported on the financial statement template in accordance with </t>
    </r>
    <r>
      <rPr>
        <b/>
        <strike/>
        <u/>
        <sz val="10"/>
        <rFont val="Times New Roman"/>
        <family val="1"/>
      </rPr>
      <t>GASBS No. 60</t>
    </r>
    <r>
      <rPr>
        <strike/>
        <sz val="10"/>
        <rFont val="Times New Roman"/>
        <family val="1"/>
      </rPr>
      <t xml:space="preserve"> as amended by </t>
    </r>
    <r>
      <rPr>
        <b/>
        <strike/>
        <u/>
        <sz val="10"/>
        <rFont val="Times New Roman"/>
        <family val="1"/>
      </rPr>
      <t>GASBS No. 72</t>
    </r>
    <r>
      <rPr>
        <strike/>
        <sz val="10"/>
        <rFont val="Times New Roman"/>
        <family val="1"/>
      </rPr>
      <t>?  If no, explain below.</t>
    </r>
  </si>
  <si>
    <r>
      <t>If yes to the first four questions 12a through 12d</t>
    </r>
    <r>
      <rPr>
        <strike/>
        <sz val="10"/>
        <rFont val="Times New Roman"/>
        <family val="1"/>
      </rPr>
      <t xml:space="preserve"> for a single contract that qualifies as a service concession arrangement in which the fund is the transferor, DOA will provide a separate communication to obtain additional information.</t>
    </r>
  </si>
  <si>
    <r>
      <t xml:space="preserve">If yes to questions 12g through 12j, are </t>
    </r>
    <r>
      <rPr>
        <b/>
        <strike/>
        <sz val="10"/>
        <rFont val="Times New Roman"/>
        <family val="1"/>
      </rPr>
      <t>all</t>
    </r>
    <r>
      <rPr>
        <strike/>
        <sz val="10"/>
        <rFont val="Times New Roman"/>
        <family val="1"/>
      </rPr>
      <t xml:space="preserve"> contracts that qualify as a Service Concession Arrangement in which the fund is the operator properly reported on the financial statement template in accordance with </t>
    </r>
    <r>
      <rPr>
        <b/>
        <strike/>
        <u/>
        <sz val="10"/>
        <rFont val="Times New Roman"/>
        <family val="1"/>
      </rPr>
      <t>GASBS No. 60</t>
    </r>
    <r>
      <rPr>
        <strike/>
        <sz val="10"/>
        <rFont val="Times New Roman"/>
        <family val="1"/>
      </rPr>
      <t>?  If no, explain below.</t>
    </r>
  </si>
  <si>
    <r>
      <rPr>
        <b/>
        <strike/>
        <sz val="10"/>
        <rFont val="Times New Roman"/>
        <family val="1"/>
      </rPr>
      <t>If yes to the first four questions 12g through 12j</t>
    </r>
    <r>
      <rPr>
        <strike/>
        <sz val="10"/>
        <rFont val="Times New Roman"/>
        <family val="1"/>
      </rPr>
      <t xml:space="preserve">  for a single contract that qualifies as a service concession arrangement in which the fund is the operator, DOA will provide a separate communication to obtain additional information.</t>
    </r>
  </si>
  <si>
    <r>
      <rPr>
        <b/>
        <strike/>
        <u/>
        <sz val="10"/>
        <rFont val="Times New Roman"/>
        <family val="1"/>
      </rPr>
      <t>GASBS No. 65</t>
    </r>
    <r>
      <rPr>
        <strike/>
        <sz val="10"/>
        <rFont val="Times New Roman"/>
        <family val="1"/>
      </rPr>
      <t>,</t>
    </r>
    <r>
      <rPr>
        <b/>
        <strike/>
        <sz val="10"/>
        <rFont val="Times New Roman"/>
        <family val="1"/>
      </rPr>
      <t xml:space="preserve"> </t>
    </r>
    <r>
      <rPr>
        <i/>
        <strike/>
        <sz val="10"/>
        <rFont val="Times New Roman"/>
        <family val="1"/>
      </rPr>
      <t>Items Previously Reported as Assets and Liabilities</t>
    </r>
  </si>
  <si>
    <r>
      <rPr>
        <b/>
        <strike/>
        <u/>
        <sz val="10"/>
        <rFont val="Times New Roman"/>
        <family val="1"/>
      </rPr>
      <t>GASBS No. 65</t>
    </r>
    <r>
      <rPr>
        <strike/>
        <sz val="10"/>
        <rFont val="Times New Roman"/>
        <family val="1"/>
      </rPr>
      <t xml:space="preserve"> requires certain assets and liabilities to be reported on one of the following applicable line items:
-  deferred outflows of resources  (see questions 13a, 13d)
-  deferred inflows of resources  (see questions 13b, 13e)
-  expenses or expenditures (see question 14a)
-  revenues (see question 14b)
Question 13 includes questions regarding the reporting of deferred outflows of resources and deferred inflows of resources per </t>
    </r>
    <r>
      <rPr>
        <b/>
        <strike/>
        <u/>
        <sz val="10"/>
        <rFont val="Times New Roman"/>
        <family val="1"/>
      </rPr>
      <t>GASBS No. 65</t>
    </r>
    <r>
      <rPr>
        <strike/>
        <sz val="10"/>
        <rFont val="Times New Roman"/>
        <family val="1"/>
      </rPr>
      <t xml:space="preserve">.  
Question 14 has questions regarding the reporting of expenses or revenues in accordance with </t>
    </r>
    <r>
      <rPr>
        <b/>
        <strike/>
        <u/>
        <sz val="10"/>
        <rFont val="Times New Roman"/>
        <family val="1"/>
      </rPr>
      <t>GASBS No. 65</t>
    </r>
    <r>
      <rPr>
        <strike/>
        <sz val="10"/>
        <rFont val="Times New Roman"/>
        <family val="1"/>
      </rPr>
      <t xml:space="preserve">.    DOA may request additional information in a separate communication.  </t>
    </r>
  </si>
  <si>
    <r>
      <t xml:space="preserve">1) </t>
    </r>
    <r>
      <rPr>
        <b/>
        <strike/>
        <sz val="10"/>
        <rFont val="Times New Roman"/>
        <family val="1"/>
      </rPr>
      <t>Debt Issuance Costs</t>
    </r>
    <r>
      <rPr>
        <strike/>
        <sz val="10"/>
        <rFont val="Times New Roman"/>
        <family val="1"/>
      </rPr>
      <t xml:space="preserve"> - Debt issuance costs, excluding prepaid insurance costs 
(</t>
    </r>
    <r>
      <rPr>
        <b/>
        <strike/>
        <u/>
        <sz val="10"/>
        <rFont val="Times New Roman"/>
        <family val="1"/>
      </rPr>
      <t>GASBS No. 65</t>
    </r>
    <r>
      <rPr>
        <strike/>
        <sz val="10"/>
        <rFont val="Times New Roman"/>
        <family val="1"/>
      </rPr>
      <t xml:space="preserve"> paragraphs 14 &amp; 15)
</t>
    </r>
  </si>
  <si>
    <r>
      <t xml:space="preserve">2) </t>
    </r>
    <r>
      <rPr>
        <b/>
        <strike/>
        <sz val="10"/>
        <rFont val="Times New Roman"/>
        <family val="1"/>
      </rPr>
      <t>Operating Leases</t>
    </r>
    <r>
      <rPr>
        <strike/>
        <sz val="10"/>
        <rFont val="Times New Roman"/>
        <family val="1"/>
      </rPr>
      <t xml:space="preserve"> - Lessor's initial direct costs of an operating lease  
(</t>
    </r>
    <r>
      <rPr>
        <b/>
        <strike/>
        <u/>
        <sz val="10"/>
        <rFont val="Times New Roman"/>
        <family val="1"/>
      </rPr>
      <t>GASBS No. 65</t>
    </r>
    <r>
      <rPr>
        <strike/>
        <sz val="10"/>
        <rFont val="Times New Roman"/>
        <family val="1"/>
      </rPr>
      <t xml:space="preserve"> paragraphs 16 &amp; 17)</t>
    </r>
  </si>
  <si>
    <r>
      <t xml:space="preserve">3) </t>
    </r>
    <r>
      <rPr>
        <b/>
        <strike/>
        <sz val="10"/>
        <rFont val="Times New Roman"/>
        <family val="1"/>
      </rPr>
      <t>Insurance Activities</t>
    </r>
    <r>
      <rPr>
        <strike/>
        <sz val="10"/>
        <rFont val="Times New Roman"/>
        <family val="1"/>
      </rPr>
      <t xml:space="preserve"> - Acquisition costs related to insurance activities  (</t>
    </r>
    <r>
      <rPr>
        <b/>
        <strike/>
        <u/>
        <sz val="10"/>
        <rFont val="Times New Roman"/>
        <family val="1"/>
      </rPr>
      <t>GASBS No. 65</t>
    </r>
    <r>
      <rPr>
        <strike/>
        <sz val="10"/>
        <rFont val="Times New Roman"/>
        <family val="1"/>
      </rPr>
      <t xml:space="preserve"> paragraphs 19 &amp; 20)
</t>
    </r>
    <r>
      <rPr>
        <b/>
        <strike/>
        <sz val="10"/>
        <rFont val="Times New Roman"/>
        <family val="1"/>
      </rPr>
      <t>Note</t>
    </r>
    <r>
      <rPr>
        <strike/>
        <sz val="10"/>
        <rFont val="Times New Roman"/>
        <family val="1"/>
      </rPr>
      <t xml:space="preserve">:  </t>
    </r>
    <r>
      <rPr>
        <b/>
        <strike/>
        <u/>
        <sz val="10"/>
        <rFont val="Times New Roman"/>
        <family val="1"/>
      </rPr>
      <t>GASBS No. 62</t>
    </r>
    <r>
      <rPr>
        <strike/>
        <sz val="10"/>
        <rFont val="Times New Roman"/>
        <family val="1"/>
      </rPr>
      <t xml:space="preserve"> paragraphs 400 - 430 establish accounting and financial reporting standards for short-duration insurance contracts underwritten by insurance entities other than public entity risk pools  and </t>
    </r>
    <r>
      <rPr>
        <b/>
        <strike/>
        <u/>
        <sz val="10"/>
        <rFont val="Times New Roman"/>
        <family val="1"/>
      </rPr>
      <t>GASBS No. 10</t>
    </r>
    <r>
      <rPr>
        <strike/>
        <sz val="10"/>
        <rFont val="Times New Roman"/>
        <family val="1"/>
      </rPr>
      <t xml:space="preserve"> paragraphs 17-51 &amp; 81 establish accounting and financial reporting standards for public entity risk pools.  In addition, </t>
    </r>
    <r>
      <rPr>
        <b/>
        <strike/>
        <u/>
        <sz val="10"/>
        <rFont val="Times New Roman"/>
        <family val="1"/>
      </rPr>
      <t>GASBS No. 62</t>
    </r>
    <r>
      <rPr>
        <strike/>
        <sz val="10"/>
        <rFont val="Times New Roman"/>
        <family val="1"/>
      </rPr>
      <t xml:space="preserve"> paragraph 412 and </t>
    </r>
    <r>
      <rPr>
        <b/>
        <strike/>
        <u/>
        <sz val="10"/>
        <rFont val="Times New Roman"/>
        <family val="1"/>
      </rPr>
      <t>GASBS No. 10</t>
    </r>
    <r>
      <rPr>
        <strike/>
        <sz val="10"/>
        <rFont val="Times New Roman"/>
        <family val="1"/>
      </rPr>
      <t xml:space="preserve"> paragraph 28 define acquisition costs as costs that vary with and are primarily related to the acquisition of new and renewal insurance contracts.  Commissions and other costs (i.e., salaries of certain employees involved in the underwriting and policy issue functions, and medical and inspection fees) primarily related to insurance contracts issued or renewed during the period in which the costs are incurred should be considered acquisition costs.</t>
    </r>
  </si>
  <si>
    <r>
      <t xml:space="preserve">4) </t>
    </r>
    <r>
      <rPr>
        <b/>
        <strike/>
        <sz val="10"/>
        <rFont val="Times New Roman"/>
        <family val="1"/>
      </rPr>
      <t xml:space="preserve">Lending Activities </t>
    </r>
    <r>
      <rPr>
        <strike/>
        <sz val="10"/>
        <rFont val="Times New Roman"/>
        <family val="1"/>
      </rPr>
      <t>- Direct loan origination costs   (</t>
    </r>
    <r>
      <rPr>
        <b/>
        <strike/>
        <u/>
        <sz val="10"/>
        <rFont val="Times New Roman"/>
        <family val="1"/>
      </rPr>
      <t>GASBS No. 65</t>
    </r>
    <r>
      <rPr>
        <strike/>
        <sz val="10"/>
        <rFont val="Times New Roman"/>
        <family val="1"/>
      </rPr>
      <t xml:space="preserve"> paragraphs 21 &amp; 22)</t>
    </r>
  </si>
  <si>
    <r>
      <t xml:space="preserve">5) </t>
    </r>
    <r>
      <rPr>
        <b/>
        <strike/>
        <sz val="10"/>
        <rFont val="Times New Roman"/>
        <family val="1"/>
      </rPr>
      <t>Lending Activities</t>
    </r>
    <r>
      <rPr>
        <strike/>
        <sz val="10"/>
        <rFont val="Times New Roman"/>
        <family val="1"/>
      </rPr>
      <t xml:space="preserve"> - Fees paid related to the purchase of a loan or group of loans 
(</t>
    </r>
    <r>
      <rPr>
        <b/>
        <strike/>
        <u/>
        <sz val="10"/>
        <rFont val="Times New Roman"/>
        <family val="1"/>
      </rPr>
      <t>GASBS No. 65</t>
    </r>
    <r>
      <rPr>
        <strike/>
        <sz val="10"/>
        <rFont val="Times New Roman"/>
        <family val="1"/>
      </rPr>
      <t xml:space="preserve"> paragraphs 21 &amp;  24)</t>
    </r>
  </si>
  <si>
    <r>
      <t xml:space="preserve">6) </t>
    </r>
    <r>
      <rPr>
        <b/>
        <strike/>
        <sz val="10"/>
        <rFont val="Times New Roman"/>
        <family val="1"/>
      </rPr>
      <t xml:space="preserve">Mortgage Banking Activities </t>
    </r>
    <r>
      <rPr>
        <strike/>
        <sz val="10"/>
        <rFont val="Times New Roman"/>
        <family val="1"/>
      </rPr>
      <t>- Direct loan origination costs for loans held for investment 
(</t>
    </r>
    <r>
      <rPr>
        <b/>
        <strike/>
        <u/>
        <sz val="10"/>
        <rFont val="Times New Roman"/>
        <family val="1"/>
      </rPr>
      <t>GASBS No. 65</t>
    </r>
    <r>
      <rPr>
        <strike/>
        <sz val="10"/>
        <rFont val="Times New Roman"/>
        <family val="1"/>
      </rPr>
      <t xml:space="preserve"> paragraphs 25 &amp; 26)</t>
    </r>
  </si>
  <si>
    <r>
      <t xml:space="preserve">1) </t>
    </r>
    <r>
      <rPr>
        <b/>
        <strike/>
        <sz val="10"/>
        <rFont val="Times New Roman"/>
        <family val="1"/>
      </rPr>
      <t>Lending Activities</t>
    </r>
    <r>
      <rPr>
        <strike/>
        <sz val="10"/>
        <rFont val="Times New Roman"/>
        <family val="1"/>
      </rPr>
      <t xml:space="preserve"> -  In lending activities, loan origination fees (excluding portion for points) received by lender   (</t>
    </r>
    <r>
      <rPr>
        <b/>
        <strike/>
        <u/>
        <sz val="10"/>
        <rFont val="Times New Roman"/>
        <family val="1"/>
      </rPr>
      <t>GASBS No. 65</t>
    </r>
    <r>
      <rPr>
        <strike/>
        <sz val="10"/>
        <rFont val="Times New Roman"/>
        <family val="1"/>
      </rPr>
      <t xml:space="preserve"> paragraphs 21 &amp; 22)</t>
    </r>
  </si>
  <si>
    <r>
      <t xml:space="preserve">2) </t>
    </r>
    <r>
      <rPr>
        <b/>
        <strike/>
        <sz val="10"/>
        <color theme="1"/>
        <rFont val="Times New Roman"/>
        <family val="1"/>
      </rPr>
      <t>Lending Activities</t>
    </r>
    <r>
      <rPr>
        <strike/>
        <sz val="10"/>
        <color theme="1"/>
        <rFont val="Times New Roman"/>
        <family val="1"/>
      </rPr>
      <t xml:space="preserve"> - Commitment fees received for a commitment to originate or purchase a loan or group of loans should be recorded as a liability and if the  commitment is exercised, recognize as revenue in the period of exercise.   If government's experience with similar arrangements indicate the likelihood commitment will be exercised is remote, recognize as revenue in period received.  (</t>
    </r>
    <r>
      <rPr>
        <b/>
        <strike/>
        <u/>
        <sz val="10"/>
        <color theme="1"/>
        <rFont val="Times New Roman"/>
        <family val="1"/>
      </rPr>
      <t>GASBS No. 65</t>
    </r>
    <r>
      <rPr>
        <strike/>
        <sz val="10"/>
        <color theme="1"/>
        <rFont val="Times New Roman"/>
        <family val="1"/>
      </rPr>
      <t xml:space="preserve"> paragraphs 21 &amp; 23)</t>
    </r>
  </si>
  <si>
    <r>
      <t xml:space="preserve">3) </t>
    </r>
    <r>
      <rPr>
        <b/>
        <strike/>
        <sz val="10"/>
        <color theme="1"/>
        <rFont val="Times New Roman"/>
        <family val="1"/>
      </rPr>
      <t xml:space="preserve">Lending Activities </t>
    </r>
    <r>
      <rPr>
        <strike/>
        <sz val="10"/>
        <color theme="1"/>
        <rFont val="Times New Roman"/>
        <family val="1"/>
      </rPr>
      <t>- Fees received related to the purchase of a loan or group of loans 
(</t>
    </r>
    <r>
      <rPr>
        <b/>
        <strike/>
        <u/>
        <sz val="10"/>
        <color theme="1"/>
        <rFont val="Times New Roman"/>
        <family val="1"/>
      </rPr>
      <t>GASBS No. 65</t>
    </r>
    <r>
      <rPr>
        <strike/>
        <sz val="10"/>
        <color theme="1"/>
        <rFont val="Times New Roman"/>
        <family val="1"/>
      </rPr>
      <t xml:space="preserve"> paragraphs 21 &amp;  24)</t>
    </r>
  </si>
  <si>
    <r>
      <t xml:space="preserve">4) </t>
    </r>
    <r>
      <rPr>
        <b/>
        <strike/>
        <sz val="10"/>
        <rFont val="Times New Roman"/>
        <family val="1"/>
      </rPr>
      <t xml:space="preserve">Mortgage Banking Activities </t>
    </r>
    <r>
      <rPr>
        <strike/>
        <sz val="10"/>
        <rFont val="Times New Roman"/>
        <family val="1"/>
      </rPr>
      <t>- Loan origination fees, excluding portion for points, received by lender for  loans held for investment   (</t>
    </r>
    <r>
      <rPr>
        <b/>
        <strike/>
        <u/>
        <sz val="10"/>
        <rFont val="Times New Roman"/>
        <family val="1"/>
      </rPr>
      <t>GASBS No. 65</t>
    </r>
    <r>
      <rPr>
        <strike/>
        <sz val="10"/>
        <rFont val="Times New Roman"/>
        <family val="1"/>
      </rPr>
      <t xml:space="preserve"> paragraph 25 &amp; 26)</t>
    </r>
  </si>
  <si>
    <r>
      <rPr>
        <b/>
        <strike/>
        <sz val="10"/>
        <rFont val="Times New Roman"/>
        <family val="1"/>
      </rPr>
      <t>Reporting</t>
    </r>
    <r>
      <rPr>
        <strike/>
        <sz val="10"/>
        <rFont val="Times New Roman"/>
        <family val="1"/>
      </rPr>
      <t xml:space="preserve">:   Were items properly reported on the template in accordance with </t>
    </r>
    <r>
      <rPr>
        <b/>
        <strike/>
        <u/>
        <sz val="10"/>
        <rFont val="Times New Roman"/>
        <family val="1"/>
      </rPr>
      <t>GASBS No. 65</t>
    </r>
    <r>
      <rPr>
        <strike/>
        <sz val="10"/>
        <rFont val="Times New Roman"/>
        <family val="1"/>
      </rPr>
      <t xml:space="preserve">?  If no, explain. 
</t>
    </r>
  </si>
  <si>
    <t>14f</t>
  </si>
  <si>
    <r>
      <rPr>
        <b/>
        <strike/>
        <sz val="10"/>
        <rFont val="Times New Roman"/>
        <family val="1"/>
      </rPr>
      <t>Reporting:</t>
    </r>
    <r>
      <rPr>
        <strike/>
        <sz val="10"/>
        <rFont val="Times New Roman"/>
        <family val="1"/>
      </rPr>
      <t xml:space="preserve">  Were items properly reported on the financial statement template in accordance with </t>
    </r>
    <r>
      <rPr>
        <b/>
        <strike/>
        <u/>
        <sz val="10"/>
        <rFont val="Times New Roman"/>
        <family val="1"/>
      </rPr>
      <t>GASBS No. 72</t>
    </r>
    <r>
      <rPr>
        <strike/>
        <sz val="10"/>
        <rFont val="Times New Roman"/>
        <family val="1"/>
      </rPr>
      <t>?</t>
    </r>
  </si>
  <si>
    <r>
      <t xml:space="preserve">If </t>
    </r>
    <r>
      <rPr>
        <b/>
        <strike/>
        <sz val="10"/>
        <rFont val="Times New Roman"/>
        <family val="1"/>
      </rPr>
      <t>no</t>
    </r>
    <r>
      <rPr>
        <strike/>
        <sz val="10"/>
        <rFont val="Times New Roman"/>
        <family val="1"/>
      </rPr>
      <t>, explain.</t>
    </r>
  </si>
  <si>
    <t>Assessments &amp; Receipts for Support of Special Services</t>
  </si>
  <si>
    <t>List all LGIP / LGIP EM accounts reported on this template.</t>
  </si>
  <si>
    <t>List the LGIP / LGIP EM account numbers, amounts, and any applicable Cardinal Account and Fund.</t>
  </si>
  <si>
    <t>LGIP Amount</t>
  </si>
  <si>
    <t>LGIP EM Amount</t>
  </si>
  <si>
    <t>Enter LGIP / LGIP EM amount 
into the applicable column.</t>
  </si>
  <si>
    <r>
      <rPr>
        <b/>
        <u/>
        <sz val="10"/>
        <rFont val="Times New Roman"/>
        <family val="1"/>
      </rPr>
      <t>Note B</t>
    </r>
    <r>
      <rPr>
        <sz val="10"/>
        <rFont val="Times New Roman"/>
        <family val="1"/>
      </rPr>
      <t xml:space="preserve">) </t>
    </r>
    <r>
      <rPr>
        <b/>
        <u/>
        <sz val="10"/>
        <rFont val="Times New Roman"/>
        <family val="1"/>
      </rPr>
      <t>GASBS No. 79</t>
    </r>
    <r>
      <rPr>
        <sz val="10"/>
        <rFont val="Times New Roman"/>
        <family val="1"/>
      </rPr>
      <t xml:space="preserve"> amended paragraph 5 of </t>
    </r>
    <r>
      <rPr>
        <b/>
        <u/>
        <sz val="10"/>
        <rFont val="Times New Roman"/>
        <family val="1"/>
      </rPr>
      <t>GASBS No. 59</t>
    </r>
    <r>
      <rPr>
        <sz val="10"/>
        <rFont val="Times New Roman"/>
        <family val="1"/>
      </rPr>
      <t xml:space="preserve"> and </t>
    </r>
    <r>
      <rPr>
        <b/>
        <u/>
        <sz val="10"/>
        <rFont val="Times New Roman"/>
        <family val="1"/>
      </rPr>
      <t>GASBS No. 79</t>
    </r>
    <r>
      <rPr>
        <sz val="10"/>
        <rFont val="Times New Roman"/>
        <family val="1"/>
      </rPr>
      <t xml:space="preserve"> lists necessary criteria in paragraph 4 for an external </t>
    </r>
  </si>
  <si>
    <r>
      <t xml:space="preserve">investment pool to measure for financial reporting purposes at amortized cost.  It also amended </t>
    </r>
    <r>
      <rPr>
        <b/>
        <u/>
        <sz val="10"/>
        <rFont val="Times New Roman"/>
        <family val="1"/>
      </rPr>
      <t>GASBS No. 31</t>
    </r>
    <r>
      <rPr>
        <sz val="10"/>
        <rFont val="Times New Roman"/>
        <family val="1"/>
      </rPr>
      <t xml:space="preserve"> paragraphs 11 and 16.</t>
    </r>
  </si>
  <si>
    <t xml:space="preserve">In addition, if the external investment pool meets the criteria to report all investments at amortized cost and reports all investments at amortized cost, </t>
  </si>
  <si>
    <t xml:space="preserve">the pool's participants must also measure their investment in the external investment pool at amortized cost. An example of an external investment pool </t>
  </si>
  <si>
    <r>
      <t xml:space="preserve">that is managed in accordance with </t>
    </r>
    <r>
      <rPr>
        <b/>
        <u/>
        <sz val="10"/>
        <rFont val="Times New Roman"/>
        <family val="1"/>
      </rPr>
      <t>GASBS No. 79</t>
    </r>
    <r>
      <rPr>
        <sz val="10"/>
        <rFont val="Times New Roman"/>
        <family val="1"/>
      </rPr>
      <t xml:space="preserve"> is a Local Government Investment Pool (LGIP) managed by the Virginia Department of the Treasury.</t>
    </r>
  </si>
  <si>
    <t>LGIP amounts should be reported at amortized cost and LGIP EM amounts should be reported at fair value.</t>
  </si>
  <si>
    <r>
      <t>Note A</t>
    </r>
    <r>
      <rPr>
        <sz val="10"/>
        <rFont val="Times New Roman"/>
        <family val="1"/>
      </rPr>
      <t xml:space="preserve">) </t>
    </r>
    <r>
      <rPr>
        <b/>
        <u/>
        <sz val="10"/>
        <rFont val="Times New Roman"/>
        <family val="1"/>
      </rPr>
      <t>GASBS No. 31</t>
    </r>
    <r>
      <rPr>
        <sz val="10"/>
        <rFont val="Times New Roman"/>
        <family val="1"/>
      </rPr>
      <t xml:space="preserve">, paragraph 9, states that these types of investments (Parts 1b, 1c) </t>
    </r>
    <r>
      <rPr>
        <b/>
        <sz val="10"/>
        <rFont val="Times New Roman"/>
        <family val="1"/>
      </rPr>
      <t>may</t>
    </r>
    <r>
      <rPr>
        <sz val="10"/>
        <rFont val="Times New Roman"/>
        <family val="1"/>
      </rPr>
      <t xml:space="preserve"> be reported</t>
    </r>
  </si>
  <si>
    <r>
      <rPr>
        <b/>
        <u/>
        <sz val="10"/>
        <rFont val="Times New Roman"/>
        <family val="1"/>
      </rPr>
      <t>Note C</t>
    </r>
    <r>
      <rPr>
        <sz val="10"/>
        <rFont val="Times New Roman"/>
        <family val="1"/>
      </rPr>
      <t xml:space="preserve">) </t>
    </r>
    <r>
      <rPr>
        <b/>
        <u/>
        <sz val="10"/>
        <rFont val="Times New Roman"/>
        <family val="1"/>
      </rPr>
      <t>GASBS No. 72</t>
    </r>
    <r>
      <rPr>
        <sz val="10"/>
        <rFont val="Times New Roman"/>
        <family val="1"/>
      </rPr>
      <t xml:space="preserve"> paragraph 69 permits these items to be reported at other than fair value.</t>
    </r>
  </si>
  <si>
    <r>
      <t xml:space="preserve">9) </t>
    </r>
    <r>
      <rPr>
        <b/>
        <sz val="10"/>
        <rFont val="Times New Roman"/>
        <family val="1"/>
      </rPr>
      <t>Government Acquisition</t>
    </r>
    <r>
      <rPr>
        <sz val="10"/>
        <rFont val="Times New Roman"/>
        <family val="1"/>
      </rPr>
      <t xml:space="preserve"> - Excess consideration provided by acquiring government acquisition 
(</t>
    </r>
    <r>
      <rPr>
        <b/>
        <u/>
        <sz val="10"/>
        <rFont val="Times New Roman"/>
        <family val="1"/>
      </rPr>
      <t>GASBS No. 69</t>
    </r>
    <r>
      <rPr>
        <sz val="10"/>
        <rFont val="Times New Roman"/>
        <family val="1"/>
      </rPr>
      <t xml:space="preserve"> paragraph 39 as amended by </t>
    </r>
    <r>
      <rPr>
        <b/>
        <u/>
        <sz val="10"/>
        <rFont val="Times New Roman"/>
        <family val="1"/>
      </rPr>
      <t>GASBS No. 85</t>
    </r>
    <r>
      <rPr>
        <sz val="10"/>
        <rFont val="Times New Roman"/>
        <family val="1"/>
      </rPr>
      <t xml:space="preserve"> paragraph 5)</t>
    </r>
  </si>
  <si>
    <r>
      <t xml:space="preserve">If </t>
    </r>
    <r>
      <rPr>
        <b/>
        <sz val="10"/>
        <rFont val="Times New Roman"/>
        <family val="1"/>
      </rPr>
      <t>yes</t>
    </r>
    <r>
      <rPr>
        <sz val="10"/>
        <rFont val="Times New Roman"/>
        <family val="1"/>
      </rPr>
      <t>, provide the following information for all items that are reported using the fair value hierarchy (Level 1, Level 2, and Level 3) on the financial statement template.</t>
    </r>
  </si>
  <si>
    <t>Agency 129 - DHRM (PMIS-Personnel Management Information System)</t>
  </si>
  <si>
    <t>Cardinal Account</t>
  </si>
  <si>
    <r>
      <rPr>
        <b/>
        <u/>
        <sz val="10"/>
        <rFont val="Times New Roman"/>
        <family val="1"/>
      </rPr>
      <t>Note D1</t>
    </r>
    <r>
      <rPr>
        <sz val="10"/>
        <rFont val="Times New Roman"/>
        <family val="1"/>
      </rPr>
      <t xml:space="preserve">)  </t>
    </r>
    <r>
      <rPr>
        <b/>
        <u/>
        <sz val="10"/>
        <rFont val="Times New Roman"/>
        <family val="1"/>
      </rPr>
      <t>GASBS No. 72</t>
    </r>
    <r>
      <rPr>
        <sz val="10"/>
        <rFont val="Times New Roman"/>
        <family val="1"/>
      </rPr>
      <t xml:space="preserve"> includes amendments to </t>
    </r>
    <r>
      <rPr>
        <b/>
        <u/>
        <sz val="10"/>
        <rFont val="Times New Roman"/>
        <family val="1"/>
      </rPr>
      <t>GASBS No. 31</t>
    </r>
    <r>
      <rPr>
        <sz val="10"/>
        <rFont val="Times New Roman"/>
        <family val="1"/>
      </rPr>
      <t xml:space="preserve">. See </t>
    </r>
    <r>
      <rPr>
        <b/>
        <u/>
        <sz val="10"/>
        <rFont val="Times New Roman"/>
        <family val="1"/>
      </rPr>
      <t>GASBS No. 72</t>
    </r>
    <r>
      <rPr>
        <sz val="10"/>
        <rFont val="Times New Roman"/>
        <family val="1"/>
      </rPr>
      <t xml:space="preserve"> for more information.  LGIP EM should be included in this category.</t>
    </r>
  </si>
  <si>
    <t>02454</t>
  </si>
  <si>
    <t>Sec VDA Special Revenue Fund</t>
  </si>
  <si>
    <t>02743</t>
  </si>
  <si>
    <t>FCCW Special Revenue Fund</t>
  </si>
  <si>
    <t>07562</t>
  </si>
  <si>
    <t>VA Research Investment Fund–GF</t>
  </si>
  <si>
    <t>07620</t>
  </si>
  <si>
    <t>Revenue Reserve Fund</t>
  </si>
  <si>
    <t>09159</t>
  </si>
  <si>
    <t>Adv Shpbldg Prdctn Fclty Grnt</t>
  </si>
  <si>
    <t>09670</t>
  </si>
  <si>
    <t>VA Law Foundation Grant Fund</t>
  </si>
  <si>
    <t>09680</t>
  </si>
  <si>
    <t>Historic Triangle Marketing</t>
  </si>
  <si>
    <t>09690</t>
  </si>
  <si>
    <t>Collections of HistTriSalesTax</t>
  </si>
  <si>
    <t>09710</t>
  </si>
  <si>
    <t>VSPBlackstoneTrainingFacility</t>
  </si>
  <si>
    <t>09780</t>
  </si>
  <si>
    <t>HealthCareCoverageAssmntFund</t>
  </si>
  <si>
    <t>09790</t>
  </si>
  <si>
    <t>HealthCarePrvdrPymntAssmntFund</t>
  </si>
  <si>
    <t>09830</t>
  </si>
  <si>
    <t>WMATA Capital Fund - Restrictd</t>
  </si>
  <si>
    <t>09840</t>
  </si>
  <si>
    <t>WMATA Capital Fund – Non-Restr</t>
  </si>
  <si>
    <t>09850</t>
  </si>
  <si>
    <t>CommuterRailOprtng&amp;CapitalFund</t>
  </si>
  <si>
    <t>09992</t>
  </si>
  <si>
    <t>Planned Reversions Spec Rev</t>
  </si>
  <si>
    <t>Elizabeth C. Gibbs</t>
  </si>
  <si>
    <t>DEPARTMENT OF EDUCATION, CENTRAL OFFICE OPERATIONS</t>
  </si>
  <si>
    <t>DR. MARTIN LUTHER KING, JR. MEMORIAL COMMISSION</t>
  </si>
  <si>
    <t>SITTER &amp; BARFOOT VETERANS CARE CENTER</t>
  </si>
  <si>
    <t>COMMONWEALTH'S ATTORNEYS' SERVICES COUNCIL</t>
  </si>
  <si>
    <t>Funds to test attachments</t>
  </si>
  <si>
    <t>test incorrect fund =</t>
  </si>
  <si>
    <t>01234</t>
  </si>
  <si>
    <t>Verify fund number and Contact DOA</t>
  </si>
  <si>
    <t>b)  Total of bank balances as reported by the depositories or custodial financial institutions as of June 30</t>
  </si>
  <si>
    <t>Total bank balances for Part 2b plus Part 2.1b</t>
  </si>
  <si>
    <r>
      <t xml:space="preserve">     Attachment 23 instructions and the FDIC website at </t>
    </r>
    <r>
      <rPr>
        <u/>
        <sz val="10"/>
        <rFont val="Times New Roman"/>
        <family val="1"/>
      </rPr>
      <t>www.fdic.gov</t>
    </r>
    <r>
      <rPr>
        <sz val="10"/>
        <rFont val="Times New Roman"/>
        <family val="1"/>
      </rPr>
      <t xml:space="preserve"> for FDIC coverage information and definitions.</t>
    </r>
  </si>
  <si>
    <r>
      <t>c)</t>
    </r>
    <r>
      <rPr>
        <b/>
        <sz val="10"/>
        <rFont val="Times New Roman"/>
        <family val="1"/>
      </rPr>
      <t xml:space="preserve">  If any cash balances or nonnegotiable CDs NOT with the Treasurer are NOT covered by the FDIC or the Security </t>
    </r>
  </si>
  <si>
    <r>
      <t xml:space="preserve">    </t>
    </r>
    <r>
      <rPr>
        <b/>
        <sz val="10"/>
        <rFont val="Times New Roman"/>
        <family val="1"/>
      </rPr>
      <t xml:space="preserve"> for Public Deposits Act</t>
    </r>
    <r>
      <rPr>
        <sz val="10"/>
        <rFont val="Times New Roman"/>
        <family val="1"/>
      </rPr>
      <t xml:space="preserve"> report the amount and bank balance for all of the applicable options below: </t>
    </r>
  </si>
  <si>
    <t>Does the amount reported agree to the agency's LGIP / LGIP EM statements?</t>
  </si>
  <si>
    <t>SNAP 
Account Numbers</t>
  </si>
  <si>
    <t>Does the amount reported agree to the agency's SNAP statements?</t>
  </si>
  <si>
    <t xml:space="preserve">on the template greater than the sum of Less Than 1 year on tab 1B plus Nonnegotiable Certificates of Deposit reported as cash equivalents in part 2.1? </t>
  </si>
  <si>
    <r>
      <t xml:space="preserve">If </t>
    </r>
    <r>
      <rPr>
        <b/>
        <sz val="10"/>
        <rFont val="Times New Roman"/>
        <family val="1"/>
      </rPr>
      <t>yes</t>
    </r>
    <r>
      <rPr>
        <sz val="10"/>
        <rFont val="Times New Roman"/>
        <family val="1"/>
      </rPr>
      <t xml:space="preserve">, DOA may contact you to obtain an explanation. </t>
    </r>
  </si>
  <si>
    <t xml:space="preserve">highly sensitive to interest rate changes?  </t>
  </si>
  <si>
    <t>Terms that make Investment Highly Sensitive to Interest Rate Changes</t>
  </si>
  <si>
    <t>Fair Value at June 30</t>
  </si>
  <si>
    <t>DEBT - Corporate Bonds and Notes</t>
  </si>
  <si>
    <t>DEBT - Supranational and Non-U.S. Government Bonds and Notes</t>
  </si>
  <si>
    <t>DEBT - Commercial Paper</t>
  </si>
  <si>
    <t>DEBT - Negotiable Certificates of Deposit</t>
  </si>
  <si>
    <t>DEBT - Reverse Repurchase Agreements</t>
  </si>
  <si>
    <t>DEBT - Repurchase Agreements</t>
  </si>
  <si>
    <t>DEBT - Municipal Securities</t>
  </si>
  <si>
    <t>DEBT - Asset Backed Securities</t>
  </si>
  <si>
    <t>DEBT - Agency Unsecured Bonds and Notes</t>
  </si>
  <si>
    <t>DEBT - Agency Mortgage Backed Securities</t>
  </si>
  <si>
    <t>DEBT - Guaranteed Investment Contracts</t>
  </si>
  <si>
    <t>DEBT - Fixed Income and Commingled Funds</t>
  </si>
  <si>
    <t>DEBT - International and Emerging Markets Funds</t>
  </si>
  <si>
    <t>DEBT - Other Debt Securities (Provide description)</t>
  </si>
  <si>
    <t>EQUITY - Common and Preferred Stocks</t>
  </si>
  <si>
    <t>EQUITY - Foreign Currencies</t>
  </si>
  <si>
    <t>EQUITY - Equity Index and Pooled Funds</t>
  </si>
  <si>
    <t>EQUITY - Real Estate</t>
  </si>
  <si>
    <t>EQUITY - Other Equity Securities (Provide description)</t>
  </si>
  <si>
    <t>Credit Risk</t>
  </si>
  <si>
    <t xml:space="preserve">Interest Rate Risk </t>
  </si>
  <si>
    <t>Custodial Credit Risk</t>
  </si>
  <si>
    <t>Credit Rating - Moody's / Standard &amp; Poor's / Fitch</t>
  </si>
  <si>
    <t xml:space="preserve">Category 3 
</t>
  </si>
  <si>
    <r>
      <t xml:space="preserve">Fair Value Measurement using (per </t>
    </r>
    <r>
      <rPr>
        <b/>
        <u/>
        <sz val="11"/>
        <rFont val="Times New Roman"/>
        <family val="1"/>
      </rPr>
      <t>GASBS No. 72</t>
    </r>
    <r>
      <rPr>
        <b/>
        <sz val="11"/>
        <rFont val="Times New Roman"/>
        <family val="1"/>
      </rPr>
      <t>)</t>
    </r>
  </si>
  <si>
    <t>Type</t>
  </si>
  <si>
    <t>Investment</t>
  </si>
  <si>
    <t>P-1 / A-1 / F1</t>
  </si>
  <si>
    <t>P-2 / A-2 / F2</t>
  </si>
  <si>
    <t>P-3 / A-3 / F3</t>
  </si>
  <si>
    <t>Aaa / AAA / AAA</t>
  </si>
  <si>
    <t>Aa / AA / AA</t>
  </si>
  <si>
    <t>A / A / A</t>
  </si>
  <si>
    <t>Baa / BBB / BBB</t>
  </si>
  <si>
    <t>Unrated</t>
  </si>
  <si>
    <r>
      <t xml:space="preserve">Not Subject to Credit Risk Disclosure per </t>
    </r>
    <r>
      <rPr>
        <b/>
        <u/>
        <sz val="11"/>
        <rFont val="Times New Roman"/>
        <family val="1"/>
      </rPr>
      <t>GASBS No. 40</t>
    </r>
  </si>
  <si>
    <t>Less Than 1 Year</t>
  </si>
  <si>
    <t>1-5 Years</t>
  </si>
  <si>
    <t>6-10 Years</t>
  </si>
  <si>
    <t>Greater Than 10 Years</t>
  </si>
  <si>
    <t>Held by Counterparty</t>
  </si>
  <si>
    <t>Held by Counterparty's Trust Department or Agent but not in  Government's Name</t>
  </si>
  <si>
    <t>Uncategorized</t>
  </si>
  <si>
    <t>Reported Amount</t>
  </si>
  <si>
    <t>Check Figure</t>
  </si>
  <si>
    <r>
      <rPr>
        <b/>
        <u/>
        <sz val="11"/>
        <rFont val="Times New Roman"/>
        <family val="1"/>
      </rPr>
      <t>Not</t>
    </r>
    <r>
      <rPr>
        <b/>
        <sz val="11"/>
        <rFont val="Times New Roman"/>
        <family val="1"/>
      </rPr>
      <t xml:space="preserve"> applicable to fair value measurement per </t>
    </r>
    <r>
      <rPr>
        <b/>
        <u/>
        <sz val="11"/>
        <rFont val="Times New Roman"/>
        <family val="1"/>
      </rPr>
      <t>GASBS No. 72</t>
    </r>
  </si>
  <si>
    <t>Quoted prices (unadjusted)  in active markets for identical assets
(Level 1)</t>
  </si>
  <si>
    <r>
      <t xml:space="preserve">Fair value established using Net Asset Value Per Share (or its equivalent) as permitted by </t>
    </r>
    <r>
      <rPr>
        <b/>
        <u/>
        <sz val="11"/>
        <rFont val="Times New Roman"/>
        <family val="1"/>
      </rPr>
      <t>GASBS No. 72</t>
    </r>
  </si>
  <si>
    <t>Accuracy check</t>
  </si>
  <si>
    <t>International and Emerging Markets Funds</t>
  </si>
  <si>
    <t>LGIP / LGIP EM 
Account Numbers</t>
  </si>
  <si>
    <r>
      <rPr>
        <b/>
        <u/>
        <sz val="10"/>
        <rFont val="Times New Roman"/>
        <family val="1"/>
      </rPr>
      <t>GASBS No. 72</t>
    </r>
    <r>
      <rPr>
        <sz val="10"/>
        <rFont val="Times New Roman"/>
        <family val="1"/>
      </rPr>
      <t xml:space="preserve">, </t>
    </r>
    <r>
      <rPr>
        <i/>
        <sz val="10"/>
        <rFont val="Times New Roman"/>
        <family val="1"/>
      </rPr>
      <t>Fair Value Measurement and Application</t>
    </r>
    <r>
      <rPr>
        <sz val="10"/>
        <rFont val="Times New Roman"/>
        <family val="1"/>
      </rPr>
      <t>. (</t>
    </r>
    <r>
      <rPr>
        <b/>
        <u/>
        <sz val="10"/>
        <rFont val="Times New Roman"/>
        <family val="1"/>
      </rPr>
      <t>Note</t>
    </r>
    <r>
      <rPr>
        <sz val="10"/>
        <rFont val="Times New Roman"/>
        <family val="1"/>
      </rPr>
      <t>: DOA may request additional information in a separate communication.)</t>
    </r>
  </si>
  <si>
    <t>Description / Issuer</t>
  </si>
  <si>
    <t>Ticker Symbol</t>
  </si>
  <si>
    <t>CUSIP Number</t>
  </si>
  <si>
    <t xml:space="preserve">
Ba and below / 
BB and below / 
BB and below
(Less than Investment Grade)</t>
  </si>
  <si>
    <t>in column AD on the Tab 1B-CE &amp; Inv Not W Treas.</t>
  </si>
  <si>
    <t>Loans/Mortgages Receivable, Net</t>
  </si>
  <si>
    <t>Interest Receivable, Net</t>
  </si>
  <si>
    <r>
      <t xml:space="preserve">1) </t>
    </r>
    <r>
      <rPr>
        <b/>
        <sz val="10"/>
        <rFont val="Times New Roman"/>
        <family val="1"/>
      </rPr>
      <t xml:space="preserve">Hedging Derivative Instruments </t>
    </r>
    <r>
      <rPr>
        <sz val="10"/>
        <rFont val="Times New Roman"/>
        <family val="1"/>
      </rPr>
      <t>- Accumulated decrease in fair value of hedging derivative instruments 
(</t>
    </r>
    <r>
      <rPr>
        <b/>
        <u/>
        <sz val="10"/>
        <rFont val="Times New Roman"/>
        <family val="1"/>
      </rPr>
      <t>GASBS No. 53</t>
    </r>
    <r>
      <rPr>
        <sz val="10"/>
        <rFont val="Times New Roman"/>
        <family val="1"/>
      </rPr>
      <t xml:space="preserve">  paragraph 20)</t>
    </r>
  </si>
  <si>
    <r>
      <t>2)</t>
    </r>
    <r>
      <rPr>
        <b/>
        <sz val="10"/>
        <rFont val="Times New Roman"/>
        <family val="1"/>
      </rPr>
      <t xml:space="preserve"> Refundings of Debt</t>
    </r>
    <r>
      <rPr>
        <sz val="10"/>
        <rFont val="Times New Roman"/>
        <family val="1"/>
      </rPr>
      <t xml:space="preserve"> - Deferral on debt defeasance - loss:  For current refundings and advance refundings resulting in debt defeasance and the reacquisition price exceeds the net carrying amount of the old debt  
(</t>
    </r>
    <r>
      <rPr>
        <b/>
        <u/>
        <sz val="10"/>
        <rFont val="Times New Roman"/>
        <family val="1"/>
      </rPr>
      <t>GASBS No. 65</t>
    </r>
    <r>
      <rPr>
        <sz val="10"/>
        <rFont val="Times New Roman"/>
        <family val="1"/>
      </rPr>
      <t xml:space="preserve"> paragraphs 5 &amp;  6)</t>
    </r>
  </si>
  <si>
    <r>
      <t xml:space="preserve">1) </t>
    </r>
    <r>
      <rPr>
        <b/>
        <sz val="10"/>
        <rFont val="Times New Roman"/>
        <family val="1"/>
      </rPr>
      <t xml:space="preserve"> Hedging Derivative Instruments </t>
    </r>
    <r>
      <rPr>
        <sz val="10"/>
        <rFont val="Times New Roman"/>
        <family val="1"/>
      </rPr>
      <t>- Accumulated increase in fair value of hedging derivative instruments 
(</t>
    </r>
    <r>
      <rPr>
        <b/>
        <u/>
        <sz val="10"/>
        <rFont val="Times New Roman"/>
        <family val="1"/>
      </rPr>
      <t>GASBS No. 53</t>
    </r>
    <r>
      <rPr>
        <sz val="10"/>
        <rFont val="Times New Roman"/>
        <family val="1"/>
      </rPr>
      <t xml:space="preserve"> paragraph 20)</t>
    </r>
  </si>
  <si>
    <t>13d</t>
  </si>
  <si>
    <t>13e</t>
  </si>
  <si>
    <t>Does the fund have any terms specified in debt agreements related to the following significant:</t>
  </si>
  <si>
    <t>1) events of default with finance-related consequences,</t>
  </si>
  <si>
    <t xml:space="preserve">2) termination events with finance-related consequences, and/or </t>
  </si>
  <si>
    <t>3) subjective acceleration clauses?</t>
  </si>
  <si>
    <r>
      <t xml:space="preserve">If </t>
    </r>
    <r>
      <rPr>
        <b/>
        <sz val="10"/>
        <rFont val="Times New Roman"/>
        <family val="1"/>
      </rPr>
      <t>yes</t>
    </r>
    <r>
      <rPr>
        <sz val="10"/>
        <rFont val="Times New Roman"/>
        <family val="1"/>
      </rPr>
      <t xml:space="preserve">, then provide the debt item and disclosure details for any of the above items. </t>
    </r>
  </si>
  <si>
    <r>
      <rPr>
        <b/>
        <u/>
        <sz val="11"/>
        <rFont val="Times New Roman"/>
        <family val="1"/>
      </rPr>
      <t>Note</t>
    </r>
    <r>
      <rPr>
        <b/>
        <sz val="11"/>
        <rFont val="Times New Roman"/>
        <family val="1"/>
      </rPr>
      <t xml:space="preserve">: In addition to responding to the questions below, evaluate whether there are reporting implications that are not addressed by the following questions. If so, please contact DOA.
</t>
    </r>
    <r>
      <rPr>
        <b/>
        <u/>
        <sz val="11"/>
        <rFont val="Times New Roman"/>
        <family val="1"/>
      </rPr>
      <t>Note</t>
    </r>
    <r>
      <rPr>
        <b/>
        <sz val="11"/>
        <rFont val="Times New Roman"/>
        <family val="1"/>
      </rPr>
      <t xml:space="preserve">: For additional information regarding GASB Statements, refer to the GASB website at www.gasb.org.  </t>
    </r>
  </si>
  <si>
    <r>
      <t xml:space="preserve">10) </t>
    </r>
    <r>
      <rPr>
        <b/>
        <sz val="10"/>
        <rFont val="Times New Roman"/>
        <family val="1"/>
      </rPr>
      <t>Asset Retirement Obligations</t>
    </r>
    <r>
      <rPr>
        <sz val="10"/>
        <rFont val="Times New Roman"/>
        <family val="1"/>
      </rPr>
      <t xml:space="preserve"> (ARO) - Amount associated with a legally enforceable liability associated with the retirement of selected capital assets (</t>
    </r>
    <r>
      <rPr>
        <b/>
        <u/>
        <sz val="10"/>
        <rFont val="Times New Roman"/>
        <family val="1"/>
      </rPr>
      <t>GASBS No. 83</t>
    </r>
    <r>
      <rPr>
        <sz val="10"/>
        <rFont val="Times New Roman"/>
        <family val="1"/>
      </rPr>
      <t xml:space="preserve">) </t>
    </r>
  </si>
  <si>
    <r>
      <rPr>
        <b/>
        <u/>
        <sz val="10"/>
        <rFont val="Times New Roman"/>
        <family val="1"/>
      </rPr>
      <t>GASBS No. 72</t>
    </r>
    <r>
      <rPr>
        <sz val="10"/>
        <rFont val="Times New Roman"/>
        <family val="1"/>
      </rPr>
      <t xml:space="preserve">  addresses accounting and financial reporting issues related to fair value measurements.  The definition of fair value is the price that would be received to sell an asset or paid to transfer a liability in an orderly transaction between market participants at the measurement date.  This Statement also provides guidance for applying fair value to certain investments and disclosures related to all fair value measurements.
This statement generally requires investments to be measured at </t>
    </r>
    <r>
      <rPr>
        <b/>
        <sz val="10"/>
        <rFont val="Times New Roman"/>
        <family val="1"/>
      </rPr>
      <t>fair value</t>
    </r>
    <r>
      <rPr>
        <sz val="10"/>
        <rFont val="Times New Roman"/>
        <family val="1"/>
      </rPr>
      <t xml:space="preserve">.  An investment is defined as a security or other asset that (a) a government holds primarily for the purpose of income or profit and (b) has a present service capacity based solely on its ability to generate cash or to be sold to generate cash.   If an investment does not have a readily determinable fair value, the statement permits, in certain circumstances, to establish fair value by using the </t>
    </r>
    <r>
      <rPr>
        <b/>
        <sz val="10"/>
        <rFont val="Times New Roman"/>
        <family val="1"/>
      </rPr>
      <t>net asset value</t>
    </r>
    <r>
      <rPr>
        <sz val="10"/>
        <rFont val="Times New Roman"/>
        <family val="1"/>
      </rPr>
      <t xml:space="preserve"> per share (or its equivalent) of the investment. 
This statement requires measurement at </t>
    </r>
    <r>
      <rPr>
        <b/>
        <sz val="10"/>
        <rFont val="Times New Roman"/>
        <family val="1"/>
      </rPr>
      <t>acquisition value</t>
    </r>
    <r>
      <rPr>
        <sz val="10"/>
        <rFont val="Times New Roman"/>
        <family val="1"/>
      </rPr>
      <t xml:space="preserve"> (an entry price) rather than fair value for donated capital assets, donated works of art, historical treasures, and similar assets, and capital assets received in a service concession arrangement.  (Note:  For use of acquisition value, </t>
    </r>
    <r>
      <rPr>
        <b/>
        <u/>
        <sz val="10"/>
        <rFont val="Times New Roman"/>
        <family val="1"/>
      </rPr>
      <t>GASBS No. 72</t>
    </r>
    <r>
      <rPr>
        <b/>
        <sz val="10"/>
        <rFont val="Times New Roman"/>
        <family val="1"/>
      </rPr>
      <t xml:space="preserve"> </t>
    </r>
    <r>
      <rPr>
        <sz val="10"/>
        <rFont val="Times New Roman"/>
        <family val="1"/>
      </rPr>
      <t xml:space="preserve">is not applicable to transactions that occurred prior to fiscal year 2016. </t>
    </r>
    <r>
      <rPr>
        <b/>
        <u/>
        <sz val="10"/>
        <rFont val="Times New Roman"/>
        <family val="1"/>
      </rPr>
      <t>GASBS No. 72</t>
    </r>
    <r>
      <rPr>
        <sz val="10"/>
        <rFont val="Times New Roman"/>
        <family val="1"/>
      </rPr>
      <t xml:space="preserve"> does not amend </t>
    </r>
    <r>
      <rPr>
        <b/>
        <u/>
        <sz val="10"/>
        <rFont val="Times New Roman"/>
        <family val="1"/>
      </rPr>
      <t>GASBS No. 48</t>
    </r>
    <r>
      <rPr>
        <sz val="10"/>
        <rFont val="Times New Roman"/>
        <family val="1"/>
      </rPr>
      <t xml:space="preserve">, </t>
    </r>
    <r>
      <rPr>
        <i/>
        <sz val="10"/>
        <rFont val="Times New Roman"/>
        <family val="1"/>
      </rPr>
      <t>Sales and Pledges of Receivables and Future Revenues and Intra-Entity Transfers of Assets and Future Revenues</t>
    </r>
    <r>
      <rPr>
        <sz val="10"/>
        <rFont val="Times New Roman"/>
        <family val="1"/>
      </rPr>
      <t xml:space="preserve">, which requires capital assets transferred, purchased, or donated from an agency within the same financial reporting entity (intra-entity) to be reported at the carrying value of the transferor.)  
</t>
    </r>
    <r>
      <rPr>
        <u/>
        <sz val="10"/>
        <rFont val="Times New Roman"/>
        <family val="1"/>
      </rPr>
      <t>NOTE</t>
    </r>
    <r>
      <rPr>
        <sz val="10"/>
        <rFont val="Times New Roman"/>
        <family val="1"/>
      </rPr>
      <t xml:space="preserve">:  The preparer and reviewer should read </t>
    </r>
    <r>
      <rPr>
        <b/>
        <u/>
        <sz val="10"/>
        <rFont val="Times New Roman"/>
        <family val="1"/>
      </rPr>
      <t>GASBS No. 72</t>
    </r>
    <r>
      <rPr>
        <sz val="10"/>
        <rFont val="Times New Roman"/>
        <family val="1"/>
      </rPr>
      <t xml:space="preserve"> and determine whether there are reporting implications as defined in </t>
    </r>
    <r>
      <rPr>
        <b/>
        <u/>
        <sz val="10"/>
        <rFont val="Times New Roman"/>
        <family val="1"/>
      </rPr>
      <t>GASBS No 72</t>
    </r>
    <r>
      <rPr>
        <sz val="10"/>
        <rFont val="Times New Roman"/>
        <family val="1"/>
      </rPr>
      <t>.  DOA may request additional information in a separate communication.</t>
    </r>
  </si>
  <si>
    <r>
      <rPr>
        <b/>
        <u/>
        <sz val="10"/>
        <rFont val="Times New Roman"/>
        <family val="1"/>
      </rPr>
      <t>GASBS No. 40</t>
    </r>
    <r>
      <rPr>
        <sz val="10"/>
        <rFont val="Times New Roman"/>
        <family val="1"/>
      </rPr>
      <t xml:space="preserve"> requires to briefly describe formally adopted investment policy for deposits and/or investments exposed to credit risk, custodial credit risk, concentration of credit risk, and interest rate risk.  Submit the agency's deposit and/or investment policy regarding information presented on this template, along with this attachment in the e-mail to </t>
    </r>
    <r>
      <rPr>
        <b/>
        <u/>
        <sz val="10"/>
        <rFont val="Times New Roman"/>
        <family val="1"/>
      </rPr>
      <t>finrept-agyatt@doa.virginia.gov</t>
    </r>
    <r>
      <rPr>
        <sz val="10"/>
        <rFont val="Times New Roman"/>
        <family val="1"/>
      </rPr>
      <t>.  This is the investment policy that will officially be on record with the Department of Accounts.  If the agency does have cash, cash equivalents, and investments NOT with the Treasurer of Virginia and DOES NOT have a formally adopted investment policy that addresses the aforementioned risks, provide an explanation below.</t>
    </r>
  </si>
  <si>
    <r>
      <t>Provide an explanation if the reported amount is negative.</t>
    </r>
    <r>
      <rPr>
        <b/>
        <sz val="10"/>
        <rFont val="Times New Roman"/>
        <family val="1"/>
      </rPr>
      <t xml:space="preserve"> </t>
    </r>
  </si>
  <si>
    <t>Travel Advances</t>
  </si>
  <si>
    <t>Cash Advances</t>
  </si>
  <si>
    <t>Treasury lines of credit</t>
  </si>
  <si>
    <t>External lines of credit to the Commonwealth of Virginia</t>
  </si>
  <si>
    <t>1) The agency is compelled to take remediation action because pollution creates an imminent endangerment to public health or welfare or the environment, leaving in little or no discretion to avoid remediation action.</t>
  </si>
  <si>
    <t>first in --listing to verify correct formula=</t>
  </si>
  <si>
    <t>last in listing--listing to verify correct formula =</t>
  </si>
  <si>
    <t>02560</t>
  </si>
  <si>
    <t>Taxpayer Relief Fund</t>
  </si>
  <si>
    <t>04250</t>
  </si>
  <si>
    <t>Interstate Improvements Fund</t>
  </si>
  <si>
    <t>04315</t>
  </si>
  <si>
    <t>I-95 Express Lanes</t>
  </si>
  <si>
    <t>Enterprise App – HCM</t>
  </si>
  <si>
    <t>07383</t>
  </si>
  <si>
    <t>CllctnAddtlLocalSTHalifaxCnty</t>
  </si>
  <si>
    <t>09019</t>
  </si>
  <si>
    <t>VA Prevntn of Sex Trafficking</t>
  </si>
  <si>
    <t>09028</t>
  </si>
  <si>
    <t>Attorney Wellness Fund</t>
  </si>
  <si>
    <t>09045</t>
  </si>
  <si>
    <t>SemiconductorManufacturingGrnt</t>
  </si>
  <si>
    <t>09210</t>
  </si>
  <si>
    <t>VA Waterway Maintenance Fund</t>
  </si>
  <si>
    <t>09870</t>
  </si>
  <si>
    <t>I-81 Corridor Improvement Fund</t>
  </si>
  <si>
    <t>Paula C. Lambert</t>
  </si>
  <si>
    <t>JUVENILE AND DOMESTIC RELATIONS DISTRICT COURTS</t>
  </si>
  <si>
    <t>Vivian Shields</t>
  </si>
  <si>
    <t>Minni Powell</t>
  </si>
  <si>
    <t>James Sacher</t>
  </si>
  <si>
    <t>Jonathan Martin</t>
  </si>
  <si>
    <t xml:space="preserve">$ Amount </t>
  </si>
  <si>
    <t>Convertible Bonds and Notes</t>
  </si>
  <si>
    <t>EQUITY - International and Emerging Markets Funds</t>
  </si>
  <si>
    <t>DEBT - Convertible Bonds and Notes</t>
  </si>
  <si>
    <t>Milk Commission - Producer Recovery / Equalization Fund - Special Revenue</t>
  </si>
  <si>
    <t>All Off-Cardinal Fund (Contractor Deposits) - Special Revenue</t>
  </si>
  <si>
    <t>Aviation Fund (Deposits of Insurance Carriers) - Special Revenue</t>
  </si>
  <si>
    <r>
      <t xml:space="preserve">If </t>
    </r>
    <r>
      <rPr>
        <b/>
        <sz val="10"/>
        <rFont val="Times New Roman"/>
        <family val="1"/>
      </rPr>
      <t>yes</t>
    </r>
    <r>
      <rPr>
        <sz val="10"/>
        <rFont val="Times New Roman"/>
        <family val="1"/>
      </rPr>
      <t>, please provide amounts and description.</t>
    </r>
  </si>
  <si>
    <r>
      <t>Ending Fund Balance/Ending Net Position per Prior Year Financial Statement Template</t>
    </r>
    <r>
      <rPr>
        <sz val="10"/>
        <rFont val="Times New Roman"/>
        <family val="1"/>
      </rPr>
      <t xml:space="preserve">
</t>
    </r>
  </si>
  <si>
    <t>Note:  Only complete this spreadsheet if beginning fund balance/beginning net position have been restated for the current year.</t>
  </si>
  <si>
    <r>
      <t xml:space="preserve">Per </t>
    </r>
    <r>
      <rPr>
        <b/>
        <u/>
        <sz val="10"/>
        <rFont val="Times New Roman"/>
        <family val="1"/>
      </rPr>
      <t>GASBS No. 42</t>
    </r>
    <r>
      <rPr>
        <b/>
        <sz val="10"/>
        <rFont val="Times New Roman"/>
        <family val="1"/>
      </rPr>
      <t>,</t>
    </r>
    <r>
      <rPr>
        <sz val="10"/>
        <rFont val="Times New Roman"/>
        <family val="1"/>
      </rPr>
      <t xml:space="preserve"> insurance recoveries must be reported on the governmental fund modified accrual statements as other financing sources or extraordinary items (see also </t>
    </r>
    <r>
      <rPr>
        <b/>
        <u/>
        <sz val="10"/>
        <rFont val="Times New Roman"/>
        <family val="1"/>
      </rPr>
      <t>Note A</t>
    </r>
    <r>
      <rPr>
        <b/>
        <sz val="10"/>
        <rFont val="Times New Roman"/>
        <family val="1"/>
      </rPr>
      <t xml:space="preserve"> </t>
    </r>
    <r>
      <rPr>
        <sz val="10"/>
        <rFont val="Times New Roman"/>
        <family val="1"/>
      </rPr>
      <t>below).  On the government-wide full accrual statements, they must be reported as program revenue or extraordinary items.  Are insurance recoveries reported on the template?</t>
    </r>
  </si>
  <si>
    <t>Corporate Notes and Bonds</t>
  </si>
  <si>
    <t>International and Emerging Market Funds</t>
  </si>
  <si>
    <t>Agency 149 - Line of Duty</t>
  </si>
  <si>
    <r>
      <t>Assets Held Pending Distribution</t>
    </r>
    <r>
      <rPr>
        <b/>
        <sz val="9"/>
        <color indexed="12"/>
        <rFont val="Times New Roman"/>
        <family val="1"/>
      </rPr>
      <t xml:space="preserve"> </t>
    </r>
    <r>
      <rPr>
        <sz val="9"/>
        <color theme="1"/>
        <rFont val="Times New Roman"/>
        <family val="1"/>
      </rPr>
      <t>(include description)</t>
    </r>
  </si>
  <si>
    <t>23X18</t>
  </si>
  <si>
    <t>23X19</t>
  </si>
  <si>
    <t>23X17</t>
  </si>
  <si>
    <t>21X</t>
  </si>
  <si>
    <t xml:space="preserve">                                    </t>
  </si>
  <si>
    <t>Significant Unobservable Inputs 
(Level 3)</t>
  </si>
  <si>
    <t>02017</t>
  </si>
  <si>
    <t>Low-inc Enrgy Effcncy Prgm Fd</t>
  </si>
  <si>
    <t>02018</t>
  </si>
  <si>
    <t>Regnl Greenhouse Gas Initiatve</t>
  </si>
  <si>
    <t>02019</t>
  </si>
  <si>
    <t>COVID-19 Addtnl State Funding</t>
  </si>
  <si>
    <t>02025</t>
  </si>
  <si>
    <t>VSP Rev from Services Provided</t>
  </si>
  <si>
    <t>02064</t>
  </si>
  <si>
    <t>Pharmaceutical Mnfctrng GrntFd</t>
  </si>
  <si>
    <t>02073</t>
  </si>
  <si>
    <t>Advanced Production Grant Fund</t>
  </si>
  <si>
    <t>02085</t>
  </si>
  <si>
    <t>GovNewAirlineSrvcIncentiveFund</t>
  </si>
  <si>
    <t>02099</t>
  </si>
  <si>
    <t>Virginia State Parks Fund</t>
  </si>
  <si>
    <t>02121</t>
  </si>
  <si>
    <t>GOV Special Revenue Fund</t>
  </si>
  <si>
    <t>02220</t>
  </si>
  <si>
    <t>DOJ Equitable Sharing</t>
  </si>
  <si>
    <t>02355</t>
  </si>
  <si>
    <t>SBSD Special Revenue Fund</t>
  </si>
  <si>
    <t>02380</t>
  </si>
  <si>
    <t>AHI Legal Proceeds</t>
  </si>
  <si>
    <t>03290</t>
  </si>
  <si>
    <t>ChldCr&amp;DvlpmntBlckGrt-COVID-19</t>
  </si>
  <si>
    <t>03350</t>
  </si>
  <si>
    <t>PoisonCtrSppt&amp;Enhcmnt-COVID-19</t>
  </si>
  <si>
    <t>03360</t>
  </si>
  <si>
    <t>PromoHumanityTeaching-COVID-19</t>
  </si>
  <si>
    <t>03370</t>
  </si>
  <si>
    <t>HistBlackCollgs&amp;Univ-COVID-19</t>
  </si>
  <si>
    <t>03380</t>
  </si>
  <si>
    <t>Minority Serving Inst-COVID-19</t>
  </si>
  <si>
    <t>03390</t>
  </si>
  <si>
    <t>Strngthning Inst Prgm-COVID-19</t>
  </si>
  <si>
    <t>03400</t>
  </si>
  <si>
    <t>ImprvmntPostscndryEdu-COVID-19</t>
  </si>
  <si>
    <t>03410</t>
  </si>
  <si>
    <t>GEER Fund - COVID-19</t>
  </si>
  <si>
    <t>03420</t>
  </si>
  <si>
    <t>Caresactrlffd-General-Covid-19</t>
  </si>
  <si>
    <t>03440</t>
  </si>
  <si>
    <t>EduStabFund-Students-COVID-19</t>
  </si>
  <si>
    <t>03690</t>
  </si>
  <si>
    <t>EduStabFund-Institutn-COVID-19</t>
  </si>
  <si>
    <t>Commonwealth Transportation Fd</t>
  </si>
  <si>
    <t>04030</t>
  </si>
  <si>
    <t>VPRA Temporary Fund</t>
  </si>
  <si>
    <t>04230</t>
  </si>
  <si>
    <t>Special Structure Fund</t>
  </si>
  <si>
    <t>04810</t>
  </si>
  <si>
    <t>Commonwealth Rail Fund</t>
  </si>
  <si>
    <t>05179</t>
  </si>
  <si>
    <t>Tuition Track Portfolio</t>
  </si>
  <si>
    <t>07006</t>
  </si>
  <si>
    <t>FedPndmcUnemployComp–COVID-19</t>
  </si>
  <si>
    <t>07007</t>
  </si>
  <si>
    <t>PndmcEmrgUnemployComp-COVID-19</t>
  </si>
  <si>
    <t>07008</t>
  </si>
  <si>
    <t>PandemicUnemployAsst-COVID-19</t>
  </si>
  <si>
    <t>07009</t>
  </si>
  <si>
    <t>Fed Fund-1st week - COVID-19</t>
  </si>
  <si>
    <t>07014</t>
  </si>
  <si>
    <t>CARESActEmployerReimb-COVID-19</t>
  </si>
  <si>
    <t>07017</t>
  </si>
  <si>
    <t>AsstIndHsehlds-OthrNd-COVID-19</t>
  </si>
  <si>
    <t>07018</t>
  </si>
  <si>
    <t>MixedErnrsUnemplyComp-COVID-19</t>
  </si>
  <si>
    <t>07041</t>
  </si>
  <si>
    <t>SMR-Camp Pendleton Lease</t>
  </si>
  <si>
    <t>09025</t>
  </si>
  <si>
    <t>Health Insurance Exchange Fund</t>
  </si>
  <si>
    <t>09026</t>
  </si>
  <si>
    <t>OystrLsng,Cnsrvtn&amp;RepletnPrgFd</t>
  </si>
  <si>
    <t>09027</t>
  </si>
  <si>
    <t>EmrgncyShltrsUpgAsstncGrntFnd</t>
  </si>
  <si>
    <t>09037</t>
  </si>
  <si>
    <t>VA Comm Flood Preparedness Fd</t>
  </si>
  <si>
    <t>09038</t>
  </si>
  <si>
    <t>HistAfrcnAmrcnCemntrs&amp;GrvsFnd</t>
  </si>
  <si>
    <t>09039</t>
  </si>
  <si>
    <t>PrblmGamblngTreatmnt&amp;SpprtFnd</t>
  </si>
  <si>
    <t>09046</t>
  </si>
  <si>
    <t>VA Food Access Investment Fund</t>
  </si>
  <si>
    <t>09056</t>
  </si>
  <si>
    <t>Games of Skill Local Fund</t>
  </si>
  <si>
    <t>09119</t>
  </si>
  <si>
    <t>COVID-19 Relief Fund</t>
  </si>
  <si>
    <t>09172</t>
  </si>
  <si>
    <t>Gaming Proceeds Fund</t>
  </si>
  <si>
    <t>09480</t>
  </si>
  <si>
    <t>Tech Talent Investment Fund</t>
  </si>
  <si>
    <t>Drug Offender Assess Fund</t>
  </si>
  <si>
    <t>09580</t>
  </si>
  <si>
    <t>Spec Acct for Const Dist Grant</t>
  </si>
  <si>
    <t>09730</t>
  </si>
  <si>
    <t>Central VA Transportation Fund</t>
  </si>
  <si>
    <t>09740</t>
  </si>
  <si>
    <t>Hampton Roads Regnl Transit Fd</t>
  </si>
  <si>
    <t>09910</t>
  </si>
  <si>
    <t>Fraud&amp;AbuseWhistleBlowrRwrdFnd</t>
  </si>
  <si>
    <t>09920</t>
  </si>
  <si>
    <t>VSPElectronicSummonsSystemsFnd</t>
  </si>
  <si>
    <t>10020</t>
  </si>
  <si>
    <t>PblcHlthCrisisRspns - COVID-19</t>
  </si>
  <si>
    <t>10030</t>
  </si>
  <si>
    <t>10050</t>
  </si>
  <si>
    <t>NutritionSrvcsTtleIII-COVID-19</t>
  </si>
  <si>
    <t>10060</t>
  </si>
  <si>
    <t>PromoArtsPtnrshpAgmnt-COVID-19</t>
  </si>
  <si>
    <t>CARESActPrvdrReliefFd-COVID-19</t>
  </si>
  <si>
    <t>10110</t>
  </si>
  <si>
    <t>CARESActRlfFd–General-COVID-19</t>
  </si>
  <si>
    <t>10120</t>
  </si>
  <si>
    <t>CoronavrsEmrSpplFdPrg-COVID-19</t>
  </si>
  <si>
    <t>10130</t>
  </si>
  <si>
    <t>NatlBioterHospPrepPgm-COVID-19</t>
  </si>
  <si>
    <t>10140</t>
  </si>
  <si>
    <t>RyanWhtHIV/AIDSPrgPtB-COVID-19</t>
  </si>
  <si>
    <t>10150</t>
  </si>
  <si>
    <t>ChldNtrtnPrgGrntsToSt-COVID-19</t>
  </si>
  <si>
    <t>10160</t>
  </si>
  <si>
    <t>StateHospImprvmntPrg-COVID-19</t>
  </si>
  <si>
    <t>10170</t>
  </si>
  <si>
    <t>Epi&amp;LabCpctyInfctsDis-COVID-19</t>
  </si>
  <si>
    <t>10180</t>
  </si>
  <si>
    <t>2020HAVACARESActGrant-COVID-19</t>
  </si>
  <si>
    <t>10190</t>
  </si>
  <si>
    <t>EmrFoodAsstPrg(TEFAP)-COVID-19</t>
  </si>
  <si>
    <t>10200</t>
  </si>
  <si>
    <t>SupportiveSrvT3BofOAA-COVID-19</t>
  </si>
  <si>
    <t>10210</t>
  </si>
  <si>
    <t>FmlyCrgvSupPrgT3E-OAA-COVID-19</t>
  </si>
  <si>
    <t>10220</t>
  </si>
  <si>
    <t>Ombudsman Prog T7-OAA-COVID-19</t>
  </si>
  <si>
    <t>10230</t>
  </si>
  <si>
    <t>Aging-T4/2DscrtnryPrj-COVID-19</t>
  </si>
  <si>
    <t>10240</t>
  </si>
  <si>
    <t>ESF-Elem&amp;SSEmerRlf Fd-COVID-19</t>
  </si>
  <si>
    <t>10250</t>
  </si>
  <si>
    <t>Comm Serv Block Grant-COVID-19</t>
  </si>
  <si>
    <t>10260</t>
  </si>
  <si>
    <t>CARESAct-Rur AreaForm-COVID-19</t>
  </si>
  <si>
    <t>10310</t>
  </si>
  <si>
    <t>Chld Wlf Svcs St Grnt-COVID-19</t>
  </si>
  <si>
    <t>10320</t>
  </si>
  <si>
    <t>Low Inc Home Engy Ast-COVID-19</t>
  </si>
  <si>
    <t>10330</t>
  </si>
  <si>
    <t>ImmnztnVaccineChldren-COVID-19</t>
  </si>
  <si>
    <t>10350</t>
  </si>
  <si>
    <t>Ref Spprt Svcs Prog-COVID-19</t>
  </si>
  <si>
    <t>10360</t>
  </si>
  <si>
    <t>InjryPrvCtrlRsrchComm-COVID-19</t>
  </si>
  <si>
    <t>10370</t>
  </si>
  <si>
    <t>FmlyViolncPrvntn/Svcs-COVID-19</t>
  </si>
  <si>
    <t>10380</t>
  </si>
  <si>
    <t>10390</t>
  </si>
  <si>
    <t>SrvyCertHlthCrPvdrSup-COVID-19</t>
  </si>
  <si>
    <t>10440</t>
  </si>
  <si>
    <t>SpclSuplmtlFoodPgmWIC-COVID-19</t>
  </si>
  <si>
    <t>Barry M. Wenzig</t>
  </si>
  <si>
    <t>Renai Reinholtz</t>
  </si>
  <si>
    <t>DEPARTMENT OF WILDLIFE RESOURCES</t>
  </si>
  <si>
    <t>Ida Witherspoon</t>
  </si>
  <si>
    <t>COMMISSION ON THE MAY 31, 2019 VIRGINIA BEACH MASS SHOOTING</t>
  </si>
  <si>
    <t>COMMISSION TO STUDY SLAVERY AND SUBSEQUENT DE JURE AND DE FACTO RACIAL AND ECONOMIC DISCRIMINATION AGAINST AFRICAN AMERICANS</t>
  </si>
  <si>
    <t>Lisa S. Jackson</t>
  </si>
  <si>
    <t>IN-STATE UNDERGRADUATE TUITION MODERATION</t>
  </si>
  <si>
    <t>MAINTAIN AFFORDABLE ACCESS</t>
  </si>
  <si>
    <r>
      <t xml:space="preserve">If </t>
    </r>
    <r>
      <rPr>
        <b/>
        <sz val="10"/>
        <rFont val="Times New Roman"/>
        <family val="1"/>
      </rPr>
      <t>yes,</t>
    </r>
    <r>
      <rPr>
        <sz val="10"/>
        <rFont val="Times New Roman"/>
        <family val="1"/>
      </rPr>
      <t xml:space="preserve"> explain below.</t>
    </r>
  </si>
  <si>
    <r>
      <t>Obligating Events</t>
    </r>
    <r>
      <rPr>
        <sz val="10"/>
        <rFont val="Times New Roman"/>
        <family val="1"/>
      </rPr>
      <t xml:space="preserve">:  Does the agency know or reasonably believe a site reported by this template, is polluted/contaminated </t>
    </r>
    <r>
      <rPr>
        <b/>
        <sz val="10"/>
        <rFont val="Times New Roman"/>
        <family val="1"/>
      </rPr>
      <t xml:space="preserve">AND </t>
    </r>
    <r>
      <rPr>
        <sz val="10"/>
        <rFont val="Times New Roman"/>
        <family val="1"/>
      </rPr>
      <t xml:space="preserve">an obligating event* as defined in </t>
    </r>
    <r>
      <rPr>
        <b/>
        <u/>
        <sz val="10"/>
        <rFont val="Times New Roman"/>
        <family val="1"/>
      </rPr>
      <t>GASBS No. 49</t>
    </r>
    <r>
      <rPr>
        <sz val="10"/>
        <rFont val="Times New Roman"/>
        <family val="1"/>
      </rPr>
      <t xml:space="preserve"> has occurred? 
If </t>
    </r>
    <r>
      <rPr>
        <b/>
        <sz val="10"/>
        <rFont val="Times New Roman"/>
        <family val="1"/>
      </rPr>
      <t>yes</t>
    </r>
    <r>
      <rPr>
        <sz val="10"/>
        <rFont val="Times New Roman"/>
        <family val="1"/>
      </rPr>
      <t xml:space="preserve">, DOA will send a separate communication. </t>
    </r>
  </si>
  <si>
    <r>
      <t xml:space="preserve">Are there any enhanced retirement benefits being reported that are not from a plan listed below? If </t>
    </r>
    <r>
      <rPr>
        <b/>
        <sz val="10"/>
        <rFont val="Times New Roman"/>
        <family val="1"/>
      </rPr>
      <t>yes</t>
    </r>
    <r>
      <rPr>
        <sz val="10"/>
        <rFont val="Times New Roman"/>
        <family val="1"/>
      </rPr>
      <t xml:space="preserve">, please provide a brief description including the name of the plan.  
</t>
    </r>
    <r>
      <rPr>
        <b/>
        <sz val="10"/>
        <rFont val="Times New Roman"/>
        <family val="1"/>
      </rPr>
      <t>1) the defined benefit pension plan,</t>
    </r>
    <r>
      <rPr>
        <sz val="10"/>
        <rFont val="Times New Roman"/>
        <family val="1"/>
      </rPr>
      <t xml:space="preserve"> 
</t>
    </r>
    <r>
      <rPr>
        <b/>
        <sz val="10"/>
        <rFont val="Times New Roman"/>
        <family val="1"/>
      </rPr>
      <t>2) the Commonwealth's Health Insurance Credit (HIC) program</t>
    </r>
    <r>
      <rPr>
        <sz val="10"/>
        <rFont val="Times New Roman"/>
        <family val="1"/>
      </rPr>
      <t xml:space="preserve"> where benefits are provided to retired employees based on years of service credit or towards their monthly health insurance premiums, 
</t>
    </r>
    <r>
      <rPr>
        <b/>
        <sz val="10"/>
        <rFont val="Times New Roman"/>
        <family val="1"/>
      </rPr>
      <t xml:space="preserve">3) the Commonwealth's Pre-Medicare Retiree Healthcare program </t>
    </r>
    <r>
      <rPr>
        <sz val="10"/>
        <rFont val="Times New Roman"/>
        <family val="1"/>
      </rPr>
      <t xml:space="preserve">where the Commonwealth provides a group healthcare plan to retired employees who are not yet eligible to participate in Medicare, 
</t>
    </r>
    <r>
      <rPr>
        <b/>
        <sz val="10"/>
        <rFont val="Times New Roman"/>
        <family val="1"/>
      </rPr>
      <t>4) the Commonwealth's Group Life Insurance Program</t>
    </r>
    <r>
      <rPr>
        <sz val="10"/>
        <rFont val="Times New Roman"/>
        <family val="1"/>
      </rPr>
      <t xml:space="preserve"> where the Commonwealth provides postemployment group life insurance benefits to eligible retired employees, or 
</t>
    </r>
    <r>
      <rPr>
        <b/>
        <sz val="10"/>
        <rFont val="Times New Roman"/>
        <family val="1"/>
      </rPr>
      <t>5) the Commonwealth's Disability Insurance Trust Fund program</t>
    </r>
    <r>
      <rPr>
        <sz val="10"/>
        <rFont val="Times New Roman"/>
        <family val="1"/>
      </rPr>
      <t xml:space="preserve"> where the Commonwealth provides disability insurance benefits to eligible retired state employees.</t>
    </r>
  </si>
  <si>
    <r>
      <t xml:space="preserve">If </t>
    </r>
    <r>
      <rPr>
        <b/>
        <sz val="10"/>
        <rFont val="Times New Roman"/>
        <family val="1"/>
      </rPr>
      <t>yes</t>
    </r>
    <r>
      <rPr>
        <sz val="10"/>
        <rFont val="Times New Roman"/>
        <family val="1"/>
      </rPr>
      <t xml:space="preserve">, provide disclosure information below.
</t>
    </r>
  </si>
  <si>
    <r>
      <t xml:space="preserve">If </t>
    </r>
    <r>
      <rPr>
        <b/>
        <sz val="10"/>
        <rFont val="Times New Roman"/>
        <family val="1"/>
      </rPr>
      <t>yes</t>
    </r>
    <r>
      <rPr>
        <sz val="10"/>
        <rFont val="Times New Roman"/>
        <family val="1"/>
      </rPr>
      <t xml:space="preserve">, provide description of donated inventory/commodities received below including date of receipt. </t>
    </r>
  </si>
  <si>
    <r>
      <t xml:space="preserve">If </t>
    </r>
    <r>
      <rPr>
        <b/>
        <sz val="10"/>
        <rFont val="Times New Roman"/>
        <family val="1"/>
      </rPr>
      <t>yes</t>
    </r>
    <r>
      <rPr>
        <sz val="10"/>
        <rFont val="Times New Roman"/>
        <family val="1"/>
      </rPr>
      <t>, provide disclosure information below.</t>
    </r>
  </si>
  <si>
    <r>
      <t xml:space="preserve">If </t>
    </r>
    <r>
      <rPr>
        <b/>
        <sz val="10"/>
        <rFont val="Times New Roman"/>
        <family val="1"/>
      </rPr>
      <t>yes</t>
    </r>
    <r>
      <rPr>
        <sz val="10"/>
        <rFont val="Times New Roman"/>
        <family val="1"/>
      </rPr>
      <t xml:space="preserve">, explain below.
</t>
    </r>
  </si>
  <si>
    <t xml:space="preserve">Accounts Payable - Other </t>
  </si>
  <si>
    <r>
      <t>Assets Held Pending Distribution</t>
    </r>
    <r>
      <rPr>
        <b/>
        <sz val="9"/>
        <color indexed="12"/>
        <rFont val="Times New Roman"/>
        <family val="1"/>
      </rPr>
      <t/>
    </r>
  </si>
  <si>
    <t>Other Receivables, Net</t>
  </si>
  <si>
    <r>
      <rPr>
        <b/>
        <u/>
        <sz val="10"/>
        <rFont val="Times New Roman"/>
        <family val="1"/>
      </rPr>
      <t>GASBS No. 53</t>
    </r>
    <r>
      <rPr>
        <b/>
        <sz val="10"/>
        <rFont val="Times New Roman"/>
        <family val="1"/>
      </rPr>
      <t>,</t>
    </r>
    <r>
      <rPr>
        <sz val="10"/>
        <rFont val="Times New Roman"/>
        <family val="1"/>
      </rPr>
      <t xml:space="preserve"> </t>
    </r>
    <r>
      <rPr>
        <i/>
        <sz val="10"/>
        <rFont val="Times New Roman"/>
        <family val="1"/>
      </rPr>
      <t>Accounting and Financial Reporting for Derivative Instruments</t>
    </r>
    <r>
      <rPr>
        <sz val="10"/>
        <rFont val="Times New Roman"/>
        <family val="1"/>
      </rPr>
      <t xml:space="preserve"> </t>
    </r>
  </si>
  <si>
    <t>Balance 
July 1, 2020</t>
  </si>
  <si>
    <t>Balance 
June 30, 2021</t>
  </si>
  <si>
    <t>Balance
July 1, 2020  (linked)</t>
  </si>
  <si>
    <t>2027-2031</t>
  </si>
  <si>
    <t>2032-2036</t>
  </si>
  <si>
    <t>2037-2041</t>
  </si>
  <si>
    <t>2042-2046</t>
  </si>
  <si>
    <t>2047-2051</t>
  </si>
  <si>
    <t>2052-2056</t>
  </si>
  <si>
    <t>Provide the earliest issuance date for bonds outstanding at June 30, 2021</t>
  </si>
  <si>
    <t>Provide the most recent issuance date for bonds outstanding at June 30, 2021</t>
  </si>
  <si>
    <t>Provide the lowest interest rate applicable to bonds outstanding at June 30, 2021</t>
  </si>
  <si>
    <t>Provide the highest interest rate applicable to bonds outstanding at June 30, 2021</t>
  </si>
  <si>
    <t>July 1, 2020</t>
  </si>
  <si>
    <t>June 30, 2021</t>
  </si>
  <si>
    <t>Mined Land Deposit Trust Fund - Special Revenue</t>
  </si>
  <si>
    <t>Non negotiable Certificates of Deposit</t>
  </si>
  <si>
    <t>Mined Land Deposits Trust Fund - Special Revenue</t>
  </si>
  <si>
    <t>Jannette Waldrop</t>
  </si>
  <si>
    <t>Donald Unmussig</t>
  </si>
  <si>
    <t>Kyle Smith</t>
  </si>
  <si>
    <t>Fernanda Crandol</t>
  </si>
  <si>
    <t>Amy M. Pearson</t>
  </si>
  <si>
    <t>Sara Page</t>
  </si>
  <si>
    <t>SECRETARY OF LABOR</t>
  </si>
  <si>
    <t>DEPARTMENT OF ENERGY</t>
  </si>
  <si>
    <t>DIVISION OF DEBT COLLECTION</t>
  </si>
  <si>
    <t>Corrine Louden</t>
  </si>
  <si>
    <t>Cindi L. Fellows</t>
  </si>
  <si>
    <t>Tyhisha Pittman</t>
  </si>
  <si>
    <t>JAMESTOWN-YORKTOWN COMMEMORATIONS</t>
  </si>
  <si>
    <t>Rhonda Davis</t>
  </si>
  <si>
    <t>Lauren Sumner</t>
  </si>
  <si>
    <t>Nancy Perry</t>
  </si>
  <si>
    <t>Elizabeth Franklin</t>
  </si>
  <si>
    <t>Solomon Girmay</t>
  </si>
  <si>
    <t>BEHAVIORAL HEALTH COMMISSION</t>
  </si>
  <si>
    <t>PULLER VETERANS CARE CENTER</t>
  </si>
  <si>
    <t>Gabrielle Cordle</t>
  </si>
  <si>
    <t>02009</t>
  </si>
  <si>
    <t>Truck Manufacturing Grant Fund</t>
  </si>
  <si>
    <t>02074</t>
  </si>
  <si>
    <t>VASexual&amp;DomstcViolncPrvntnFnd</t>
  </si>
  <si>
    <t>02095</t>
  </si>
  <si>
    <t>Opioid Abatement Fund</t>
  </si>
  <si>
    <t>03210</t>
  </si>
  <si>
    <t>ARP-CrvStLoclFisRecFd-COVID-19</t>
  </si>
  <si>
    <t>03230</t>
  </si>
  <si>
    <t>03280</t>
  </si>
  <si>
    <t>03710</t>
  </si>
  <si>
    <t>FEMA - State Agy - COVID-19</t>
  </si>
  <si>
    <t>04370</t>
  </si>
  <si>
    <t>Coleman Bridge Revenue Fund</t>
  </si>
  <si>
    <t>04371</t>
  </si>
  <si>
    <t>Coleman Bridge Maint&amp;Repl Fund</t>
  </si>
  <si>
    <t>EZ Pass</t>
  </si>
  <si>
    <t>04820</t>
  </si>
  <si>
    <t>Port Opportunity Fund</t>
  </si>
  <si>
    <t>VA529 Agency Operating</t>
  </si>
  <si>
    <t>Prepaid529</t>
  </si>
  <si>
    <t>06018</t>
  </si>
  <si>
    <t>Internal Service Fund - ODGA</t>
  </si>
  <si>
    <t>07035</t>
  </si>
  <si>
    <t>Court Ordered Restitutn Pymnts</t>
  </si>
  <si>
    <t>07104</t>
  </si>
  <si>
    <t>VEC - Admin Grants - COVID-19</t>
  </si>
  <si>
    <t>07115</t>
  </si>
  <si>
    <t>Lcl Susp Dispsbl Plstic Bag Tx</t>
  </si>
  <si>
    <t>07861</t>
  </si>
  <si>
    <t>I-81 - Bond Construction Fund</t>
  </si>
  <si>
    <t>07864</t>
  </si>
  <si>
    <t>I-81 – Principal &amp; Interest</t>
  </si>
  <si>
    <t>09029</t>
  </si>
  <si>
    <t>Voter Education &amp; Outreach Fnd</t>
  </si>
  <si>
    <t>09047</t>
  </si>
  <si>
    <t>Percentage of IncomePaymntFund</t>
  </si>
  <si>
    <t>09048</t>
  </si>
  <si>
    <t>Children's Advocacy Fund</t>
  </si>
  <si>
    <t>09057</t>
  </si>
  <si>
    <t>Special Workforce Grant Fund</t>
  </si>
  <si>
    <t>09071</t>
  </si>
  <si>
    <t>Crisis Call Center Fund</t>
  </si>
  <si>
    <t>09072</t>
  </si>
  <si>
    <t>Low-to-Mod Inc Solar &amp; Reb Fnd</t>
  </si>
  <si>
    <t>10470</t>
  </si>
  <si>
    <t>EmrgncyRentalAsstPrgm-COVID-19</t>
  </si>
  <si>
    <t>10480</t>
  </si>
  <si>
    <t>ChafeeEdu/TrainVchPgm-COVID-19</t>
  </si>
  <si>
    <t>10490</t>
  </si>
  <si>
    <t>Chafee Foster CarePgm-COVID-19</t>
  </si>
  <si>
    <t>10570</t>
  </si>
  <si>
    <t>PandemicEBTAdminCosts-COVID-19</t>
  </si>
  <si>
    <t>10590</t>
  </si>
  <si>
    <t>HousingOppPrsnW/Aids-COVID-19</t>
  </si>
  <si>
    <t>10640</t>
  </si>
  <si>
    <t>EmrgncyShelterGrntPgm-COVID-19</t>
  </si>
  <si>
    <t>10650</t>
  </si>
  <si>
    <t>NGMilitaryOP&amp;MaintPrj-COVID-19</t>
  </si>
  <si>
    <t>10690</t>
  </si>
  <si>
    <t>CDBGrants-States Prgm-COVID-19</t>
  </si>
  <si>
    <t>EldrAbsPrvnIntrvtnPrg-COVID-19</t>
  </si>
  <si>
    <t>10710</t>
  </si>
  <si>
    <t>10720</t>
  </si>
  <si>
    <t>FEMA - Local Gov - COVID-19</t>
  </si>
  <si>
    <t>10740</t>
  </si>
  <si>
    <t>FEMA - VDH - COVID-19</t>
  </si>
  <si>
    <t>10750</t>
  </si>
  <si>
    <t>FEMA - Non-Profit - COVID-19</t>
  </si>
  <si>
    <t>10760</t>
  </si>
  <si>
    <t>FEMA - VDEM - COVID-19</t>
  </si>
  <si>
    <t>10780</t>
  </si>
  <si>
    <t>FEMA - VDEM-CRF - COVID-19</t>
  </si>
  <si>
    <t>10810</t>
  </si>
  <si>
    <t>ExDsbNwkAcsCOVID19Vac-COVID-19</t>
  </si>
  <si>
    <t>10820</t>
  </si>
  <si>
    <t>ARP-PrevntHlthTitle3D-COVID-19</t>
  </si>
  <si>
    <t>10830</t>
  </si>
  <si>
    <t>ARP-MIEC HomeVisiting-COVID-19</t>
  </si>
  <si>
    <t>10840</t>
  </si>
  <si>
    <t>BG CommMentlHlthSvcs-COVID-19</t>
  </si>
  <si>
    <t>12030</t>
  </si>
  <si>
    <t>BG Prev/TreatSubsAbse-COVID-19</t>
  </si>
  <si>
    <t>12050</t>
  </si>
  <si>
    <t>HlthDptRspnPblcHlthCr-COVID-19</t>
  </si>
  <si>
    <t>Grants to States – COVID-19</t>
  </si>
  <si>
    <t>12110</t>
  </si>
  <si>
    <t>12120</t>
  </si>
  <si>
    <t>ARP-CapitalPrjctsFund-COVID-19</t>
  </si>
  <si>
    <t>12130</t>
  </si>
  <si>
    <t>ARP-HomeownerAsstFund-COVID-19</t>
  </si>
  <si>
    <t>12140</t>
  </si>
  <si>
    <t>ARP-EmrgncyRntlAsstFd-COVID-19</t>
  </si>
  <si>
    <t>12150</t>
  </si>
  <si>
    <t>ARP-StSmallBusCrdIntv-COVID-19</t>
  </si>
  <si>
    <t>12160</t>
  </si>
  <si>
    <t>EmgGrntMntlSbsUseDsdr-COVID-19</t>
  </si>
  <si>
    <t>12170</t>
  </si>
  <si>
    <t>StAdmMtchGrtSupNutrtn-COVID-19</t>
  </si>
  <si>
    <t>12180</t>
  </si>
  <si>
    <t>Rural Hlth RsrchCntrs-COVID-19</t>
  </si>
  <si>
    <t>STD Prvntn&amp;Cntrl Grnt-COVID-19</t>
  </si>
  <si>
    <t>12210</t>
  </si>
  <si>
    <t>Randolph Sheppard-Rlf-COVID-19</t>
  </si>
  <si>
    <t>12220</t>
  </si>
  <si>
    <t>SpcEdInfants/Families-COVID-19</t>
  </si>
  <si>
    <t>12230</t>
  </si>
  <si>
    <t>TempAsstForNeedyFamly-COVID-19</t>
  </si>
  <si>
    <t>12240</t>
  </si>
  <si>
    <t>Comm-BasdChldAbsePrvt-COVID-19</t>
  </si>
  <si>
    <t>12250</t>
  </si>
  <si>
    <t>ChldAbse&amp;NeglctStGrnt-COVID-19</t>
  </si>
  <si>
    <t>12260</t>
  </si>
  <si>
    <t>CN CACFP Emrgncy Csts-COVID-19</t>
  </si>
  <si>
    <t>12270</t>
  </si>
  <si>
    <t>ShuttrdVenueOprtrGrnt-COVID-19</t>
  </si>
  <si>
    <t>12280</t>
  </si>
  <si>
    <t>AmeriCorps - COVID-19</t>
  </si>
  <si>
    <t>12290</t>
  </si>
  <si>
    <t>PromoSafe/StableFam-COVID-19</t>
  </si>
  <si>
    <t>HomeInvstPrtnrshpsPgm-COVID-19</t>
  </si>
  <si>
    <t>12310</t>
  </si>
  <si>
    <t>StEnvrnmtlJstCopAgrmt-COVID-19</t>
  </si>
  <si>
    <t>Other Capital Assets, Net</t>
  </si>
  <si>
    <t>Total of 
Credit Risk 
(Columns F-O) 
should equal 
Interest Risk 
(Columns R-U)</t>
  </si>
  <si>
    <t>Chilean Peso</t>
  </si>
  <si>
    <r>
      <t xml:space="preserve">3) </t>
    </r>
    <r>
      <rPr>
        <b/>
        <sz val="10"/>
        <rFont val="Times New Roman"/>
        <family val="1"/>
      </rPr>
      <t>Refundings of Debt</t>
    </r>
    <r>
      <rPr>
        <sz val="10"/>
        <rFont val="Times New Roman"/>
        <family val="1"/>
      </rPr>
      <t xml:space="preserve"> - A change in provisions of a lease resulting from a refunding, including an advance refunding, of tax-exempt debt by the lessor who then passes through the effect to the lessee and the lease continues to be classified as a lease by the lessee which increases the lessee's lease obligation (</t>
    </r>
    <r>
      <rPr>
        <b/>
        <u/>
        <sz val="10"/>
        <rFont val="Times New Roman"/>
        <family val="1"/>
      </rPr>
      <t>GASBS No. 87</t>
    </r>
    <r>
      <rPr>
        <sz val="10"/>
        <rFont val="Times New Roman"/>
        <family val="1"/>
      </rPr>
      <t xml:space="preserve"> paragraph 74)</t>
    </r>
  </si>
  <si>
    <t>U.S. Dollar</t>
  </si>
  <si>
    <r>
      <rPr>
        <b/>
        <u/>
        <sz val="10"/>
        <rFont val="Times New Roman"/>
        <family val="1"/>
      </rPr>
      <t>GASBS No. 87</t>
    </r>
    <r>
      <rPr>
        <sz val="10"/>
        <rFont val="Times New Roman"/>
        <family val="1"/>
      </rPr>
      <t xml:space="preserve">, </t>
    </r>
    <r>
      <rPr>
        <i/>
        <sz val="10"/>
        <rFont val="Times New Roman"/>
        <family val="1"/>
      </rPr>
      <t>Leases</t>
    </r>
    <r>
      <rPr>
        <sz val="10"/>
        <rFont val="Times New Roman"/>
        <family val="1"/>
      </rPr>
      <t xml:space="preserve"> (</t>
    </r>
    <r>
      <rPr>
        <b/>
        <u/>
        <sz val="10"/>
        <rFont val="Times New Roman"/>
        <family val="1"/>
      </rPr>
      <t>Note</t>
    </r>
    <r>
      <rPr>
        <sz val="10"/>
        <rFont val="Times New Roman"/>
        <family val="1"/>
      </rPr>
      <t>: DOA may request additional information in a separate communication.)</t>
    </r>
  </si>
  <si>
    <r>
      <rPr>
        <b/>
        <u/>
        <sz val="10"/>
        <rFont val="Times New Roman"/>
        <family val="1"/>
      </rPr>
      <t>GASBS No. 88</t>
    </r>
    <r>
      <rPr>
        <sz val="10"/>
        <rFont val="Times New Roman"/>
        <family val="1"/>
      </rPr>
      <t xml:space="preserve">, </t>
    </r>
    <r>
      <rPr>
        <i/>
        <sz val="10"/>
        <rFont val="Times New Roman"/>
        <family val="1"/>
      </rPr>
      <t>Certain Disclosures Related to Debt, including Direct Borrowings and Direct Placements</t>
    </r>
    <r>
      <rPr>
        <sz val="10"/>
        <rFont val="Times New Roman"/>
        <family val="1"/>
      </rPr>
      <t xml:space="preserve"> (</t>
    </r>
    <r>
      <rPr>
        <b/>
        <u/>
        <sz val="10"/>
        <rFont val="Times New Roman"/>
        <family val="1"/>
      </rPr>
      <t>Note</t>
    </r>
    <r>
      <rPr>
        <sz val="10"/>
        <rFont val="Times New Roman"/>
        <family val="1"/>
      </rPr>
      <t>: DOA may request additional information in a separate communication.)</t>
    </r>
  </si>
  <si>
    <t>02014</t>
  </si>
  <si>
    <t>PrptyAnlytcsFrmInfstrctrGrntFd</t>
  </si>
  <si>
    <t>02026</t>
  </si>
  <si>
    <t>VA Business Ready Sites Prg Fd</t>
  </si>
  <si>
    <t>02054</t>
  </si>
  <si>
    <t>Cost Recovery Audit Fund</t>
  </si>
  <si>
    <t>02506</t>
  </si>
  <si>
    <t>MVDB Special Revenue Fund</t>
  </si>
  <si>
    <t>02541</t>
  </si>
  <si>
    <t>02850</t>
  </si>
  <si>
    <t>VA Firearm Vlnc Int &amp; Prev Fd</t>
  </si>
  <si>
    <t>02902</t>
  </si>
  <si>
    <t>P-VCC Special Revenue Fund</t>
  </si>
  <si>
    <t>02903</t>
  </si>
  <si>
    <t>JC-VCC Special Revenue Fund</t>
  </si>
  <si>
    <t>03014</t>
  </si>
  <si>
    <t>SuplmntlSupptUnderARP-COVID-19</t>
  </si>
  <si>
    <t>03040</t>
  </si>
  <si>
    <t>Institutional Reserve Fund</t>
  </si>
  <si>
    <t>03260</t>
  </si>
  <si>
    <t>Cllg Prtnrshp Labrtry Schl Fnd</t>
  </si>
  <si>
    <t>03450</t>
  </si>
  <si>
    <t>ShuttrdVenueOprtrsGrt-COVID-19</t>
  </si>
  <si>
    <t>04350</t>
  </si>
  <si>
    <t>Pocahontas Pkw Toll Facility</t>
  </si>
  <si>
    <t>04890</t>
  </si>
  <si>
    <t>Proceed-Sale Surplus-Land&amp;Bldg</t>
  </si>
  <si>
    <t>04900</t>
  </si>
  <si>
    <t>05175</t>
  </si>
  <si>
    <t>College Savings Systems</t>
  </si>
  <si>
    <t>05177</t>
  </si>
  <si>
    <t>Virginia529 Invest</t>
  </si>
  <si>
    <t>05178</t>
  </si>
  <si>
    <t>Virginia529 Collegewealth</t>
  </si>
  <si>
    <t>06110</t>
  </si>
  <si>
    <t>Capital Project Review Svcs</t>
  </si>
  <si>
    <t>07247</t>
  </si>
  <si>
    <t>07850</t>
  </si>
  <si>
    <t>Elizabeth River Tunnel</t>
  </si>
  <si>
    <t>07950</t>
  </si>
  <si>
    <t>Norfolk-Va. Beach Expressway</t>
  </si>
  <si>
    <t>07955</t>
  </si>
  <si>
    <t>Nrflk-Va Beach Improvement</t>
  </si>
  <si>
    <t>08060</t>
  </si>
  <si>
    <t>Hirst-Brault Expresswy Dulles</t>
  </si>
  <si>
    <t>08061</t>
  </si>
  <si>
    <t>Hirst-Brault - Constr Fund</t>
  </si>
  <si>
    <t>08062</t>
  </si>
  <si>
    <t>Hirst-Brault - Revenue Fund</t>
  </si>
  <si>
    <t>08063</t>
  </si>
  <si>
    <t>Hirst-Brault - Reserv Maint</t>
  </si>
  <si>
    <t>08064</t>
  </si>
  <si>
    <t>Hirst-Brault - Interest &amp; Prin</t>
  </si>
  <si>
    <t>08065</t>
  </si>
  <si>
    <t>Hirst-Brault - Improvemnt Fund</t>
  </si>
  <si>
    <t>08066</t>
  </si>
  <si>
    <t>Hirst-Brault - Trans Set-Aside</t>
  </si>
  <si>
    <t>08220</t>
  </si>
  <si>
    <t>09015</t>
  </si>
  <si>
    <t>Railway Preserv &amp; Develop Fund</t>
  </si>
  <si>
    <t>09049</t>
  </si>
  <si>
    <t>Body-Worn Camera System Fund</t>
  </si>
  <si>
    <t>09058</t>
  </si>
  <si>
    <t>VA Agriculture Food Asst Fund</t>
  </si>
  <si>
    <t>09059</t>
  </si>
  <si>
    <t>VA BIPOC Hstrc Prsrvtn Fund</t>
  </si>
  <si>
    <t>09062</t>
  </si>
  <si>
    <t>VA Spirits Promotion Fund</t>
  </si>
  <si>
    <t>09063</t>
  </si>
  <si>
    <t>09064</t>
  </si>
  <si>
    <t>Operation Ceasefire Grant Fund</t>
  </si>
  <si>
    <t>09073</t>
  </si>
  <si>
    <t>Volunteer Fire Dept TrainingFd</t>
  </si>
  <si>
    <t>09491</t>
  </si>
  <si>
    <t>Technology Development Grnt Fd</t>
  </si>
  <si>
    <t>10940</t>
  </si>
  <si>
    <t>ARRA Hwy Planning &amp; Constructn</t>
  </si>
  <si>
    <t>12320</t>
  </si>
  <si>
    <t>Const St Home Facil-COVID-19</t>
  </si>
  <si>
    <t>12330</t>
  </si>
  <si>
    <t>FmlyVlSxAsltRpeCrsSrv-COVID-19</t>
  </si>
  <si>
    <t>12340</t>
  </si>
  <si>
    <t>Special Edu St Grnts-COVID-19</t>
  </si>
  <si>
    <t>12350</t>
  </si>
  <si>
    <t>SpecialEdu-PrschlGrnt-COVID-19</t>
  </si>
  <si>
    <t>12360</t>
  </si>
  <si>
    <t>Airport Imprvmnt Prgm-COVID-19</t>
  </si>
  <si>
    <t>12370</t>
  </si>
  <si>
    <t>AgWrkrPndmcRlf&amp;Prtctn-COVID-19</t>
  </si>
  <si>
    <t>12380</t>
  </si>
  <si>
    <t>Food Bank Network - COVID-19</t>
  </si>
  <si>
    <t>12390</t>
  </si>
  <si>
    <t>TraumBrnInjryStDmoGrt-COVID-19</t>
  </si>
  <si>
    <t>12410</t>
  </si>
  <si>
    <t>ACLIndpndntLvngStGrnt-COVID-19</t>
  </si>
  <si>
    <t>12420</t>
  </si>
  <si>
    <t>ACL Asstve Technology-COVID-19</t>
  </si>
  <si>
    <t>12430</t>
  </si>
  <si>
    <t>Surv/Stdy/InvstClnAir-COVID-19</t>
  </si>
  <si>
    <t>12440</t>
  </si>
  <si>
    <t>BehvRskFctrSurvlncSys-COVID-19</t>
  </si>
  <si>
    <t>12450</t>
  </si>
  <si>
    <t>FarmtoSchlStFormlaGrt-COVID-19</t>
  </si>
  <si>
    <t>BrwnfldAsses&amp;ClnupCoopAgr-IIJA</t>
  </si>
  <si>
    <t>12510</t>
  </si>
  <si>
    <t>VA Water Facil Revolving-IIJA</t>
  </si>
  <si>
    <t>12520</t>
  </si>
  <si>
    <t>Water Qlty Mngmnt Planing-IIJA</t>
  </si>
  <si>
    <t>12530</t>
  </si>
  <si>
    <t>Pollution Prvntn Grnt Pgm-IIJA</t>
  </si>
  <si>
    <t>12540</t>
  </si>
  <si>
    <t>ChspkBayPrgImpRegAcctMntr-IIJA</t>
  </si>
  <si>
    <r>
      <t>Assets Held Pending Distribution</t>
    </r>
    <r>
      <rPr>
        <b/>
        <sz val="12"/>
        <color indexed="12"/>
        <rFont val="Arial"/>
        <family val="2"/>
      </rPr>
      <t xml:space="preserve"> </t>
    </r>
    <r>
      <rPr>
        <sz val="12"/>
        <color theme="1"/>
        <rFont val="Arial"/>
        <family val="2"/>
      </rPr>
      <t>(include description)</t>
    </r>
  </si>
  <si>
    <t xml:space="preserve"> </t>
  </si>
  <si>
    <t>New/Name change</t>
  </si>
  <si>
    <t>Analyst Comments</t>
  </si>
  <si>
    <t>New Agencies</t>
  </si>
  <si>
    <t>Name Changes per DPB</t>
  </si>
  <si>
    <t>Removed Agencies</t>
  </si>
  <si>
    <t>Rochelle Altholz</t>
  </si>
  <si>
    <t>Donna M. Brown</t>
  </si>
  <si>
    <t>Arthenia Rachel</t>
  </si>
  <si>
    <t>Control Agency updates</t>
  </si>
  <si>
    <t>agency name per signatory card
"Office of the Attorney General" but will continue to use DPB name</t>
  </si>
  <si>
    <t>COMMISSIONERS FOR THE PROMOTION OF UNIFORMITY OF LEGISLATION IN THE UNITED STATES</t>
  </si>
  <si>
    <t>Name Change</t>
  </si>
  <si>
    <t>Leslie Weldon</t>
  </si>
  <si>
    <t>Courtney Shearer</t>
  </si>
  <si>
    <t>Angela Wright</t>
  </si>
  <si>
    <t>SECRETARY OF NATURAL AND HISTORIC RESOURCES</t>
  </si>
  <si>
    <t>SECRETARY OF PUBLIC SAFETY AND HOMELAND SECURITY</t>
  </si>
  <si>
    <t>Annette Sherrill</t>
  </si>
  <si>
    <t>For Directive purposes, Agency 200 should be included with 201. Signature Card includes with Agy 765</t>
  </si>
  <si>
    <t>Monica Darden</t>
  </si>
  <si>
    <t>Margaret Libby</t>
  </si>
  <si>
    <t>Patricia Beck</t>
  </si>
  <si>
    <t>Robert Lewis</t>
  </si>
  <si>
    <t>Clara Harris</t>
  </si>
  <si>
    <t>Towanda Vaughan</t>
  </si>
  <si>
    <t>DEPARTMENT OF TRANSPORTATION TRANSFER PAYMENTS</t>
  </si>
  <si>
    <t>Ashley Nusbaum</t>
  </si>
  <si>
    <t>Carla Green</t>
  </si>
  <si>
    <t>DEPARTMENT OF BEHAVIORAL HEALTH AND DEVELOPMENTAL SERVICES</t>
  </si>
  <si>
    <t>OPIOID ABATEMENT AUTHORITY</t>
  </si>
  <si>
    <t>JONES AND CABACOY VETERANS CARE CENTER</t>
  </si>
  <si>
    <r>
      <t xml:space="preserve">2)  </t>
    </r>
    <r>
      <rPr>
        <b/>
        <sz val="10"/>
        <rFont val="Times New Roman"/>
        <family val="1"/>
      </rPr>
      <t>Refundings of Debt</t>
    </r>
    <r>
      <rPr>
        <sz val="10"/>
        <rFont val="Times New Roman"/>
        <family val="1"/>
      </rPr>
      <t xml:space="preserve"> - Deferral on debt defeasance - gain:  For current refundings and advance refundings resulting in debt defeasance and the reacquisition price is less than the net carrying amount of the old debt  
(</t>
    </r>
    <r>
      <rPr>
        <b/>
        <u/>
        <sz val="10"/>
        <rFont val="Times New Roman"/>
        <family val="1"/>
      </rPr>
      <t>GASBS No. 65</t>
    </r>
    <r>
      <rPr>
        <sz val="10"/>
        <rFont val="Times New Roman"/>
        <family val="1"/>
      </rPr>
      <t xml:space="preserve"> paragraphs 5 &amp; 6)</t>
    </r>
  </si>
  <si>
    <r>
      <t xml:space="preserve">3) </t>
    </r>
    <r>
      <rPr>
        <b/>
        <sz val="10"/>
        <rFont val="Times New Roman"/>
        <family val="1"/>
      </rPr>
      <t xml:space="preserve"> Refundings of Debt</t>
    </r>
    <r>
      <rPr>
        <sz val="10"/>
        <rFont val="Times New Roman"/>
        <family val="1"/>
      </rPr>
      <t xml:space="preserve"> - A change in provisions of a lease resulting from a refunding, including an advance refunding, of tax-exempt debt by the lessor who then passes through the effect to the lessee and the lease continues to be classified as a lease by the lessee which decreases the lessee's lease obligation (</t>
    </r>
    <r>
      <rPr>
        <b/>
        <u/>
        <sz val="10"/>
        <rFont val="Times New Roman"/>
        <family val="1"/>
      </rPr>
      <t>GASBS No. 87</t>
    </r>
    <r>
      <rPr>
        <sz val="10"/>
        <rFont val="Times New Roman"/>
        <family val="1"/>
      </rPr>
      <t xml:space="preserve"> paragraph 74)</t>
    </r>
  </si>
  <si>
    <r>
      <t xml:space="preserve">4)  </t>
    </r>
    <r>
      <rPr>
        <b/>
        <sz val="10"/>
        <rFont val="Times New Roman"/>
        <family val="1"/>
      </rPr>
      <t>Government-Mandated &amp; Voluntary Nonexchange Transactions</t>
    </r>
    <r>
      <rPr>
        <sz val="10"/>
        <rFont val="Times New Roman"/>
        <family val="1"/>
      </rPr>
      <t xml:space="preserve"> - Resources received by recipients before time requirements are met, but after the other eligibility requirements have been met  
(</t>
    </r>
    <r>
      <rPr>
        <b/>
        <u/>
        <sz val="10"/>
        <rFont val="Times New Roman"/>
        <family val="1"/>
      </rPr>
      <t>GASBS No. 65</t>
    </r>
    <r>
      <rPr>
        <sz val="10"/>
        <rFont val="Times New Roman"/>
        <family val="1"/>
      </rPr>
      <t xml:space="preserve"> paragraphs 8 &amp; 10)</t>
    </r>
  </si>
  <si>
    <r>
      <t xml:space="preserve">5)  </t>
    </r>
    <r>
      <rPr>
        <b/>
        <sz val="10"/>
        <rFont val="Times New Roman"/>
        <family val="1"/>
      </rPr>
      <t>Imposed Nonexchange Revenue Transactions</t>
    </r>
    <r>
      <rPr>
        <sz val="10"/>
        <rFont val="Times New Roman"/>
        <family val="1"/>
      </rPr>
      <t xml:space="preserve"> - Amounts received or reported as a receivable before the period when resources are required to be used or when use is first permitted in which the enabling legislation includes time requirements (</t>
    </r>
    <r>
      <rPr>
        <b/>
        <u/>
        <sz val="10"/>
        <rFont val="Times New Roman"/>
        <family val="1"/>
      </rPr>
      <t>GASBS No. 65</t>
    </r>
    <r>
      <rPr>
        <sz val="10"/>
        <rFont val="Times New Roman"/>
        <family val="1"/>
      </rPr>
      <t xml:space="preserve"> paragraphs 8 &amp; 9)</t>
    </r>
  </si>
  <si>
    <r>
      <t xml:space="preserve">6)  </t>
    </r>
    <r>
      <rPr>
        <b/>
        <sz val="10"/>
        <rFont val="Times New Roman"/>
        <family val="1"/>
      </rPr>
      <t>Sale of Future Revenues &amp; Intra-Entity Transfers of Future Revenues</t>
    </r>
    <r>
      <rPr>
        <sz val="10"/>
        <rFont val="Times New Roman"/>
        <family val="1"/>
      </rPr>
      <t xml:space="preserve"> - Amount a transferor government receives as proceeds in the sale of future revenue transactions except for instances requiring revenue recognition in the period of sale as discussed in </t>
    </r>
    <r>
      <rPr>
        <b/>
        <u/>
        <sz val="10"/>
        <rFont val="Times New Roman"/>
        <family val="1"/>
      </rPr>
      <t>GASB No. 48</t>
    </r>
    <r>
      <rPr>
        <sz val="10"/>
        <rFont val="Times New Roman"/>
        <family val="1"/>
      </rPr>
      <t xml:space="preserve"> paragraph 14 (</t>
    </r>
    <r>
      <rPr>
        <b/>
        <u/>
        <sz val="10"/>
        <rFont val="Times New Roman"/>
        <family val="1"/>
      </rPr>
      <t>GASBS No. 65</t>
    </r>
    <r>
      <rPr>
        <sz val="10"/>
        <rFont val="Times New Roman"/>
        <family val="1"/>
      </rPr>
      <t xml:space="preserve"> paragraphs 11, 12 &amp; 13)</t>
    </r>
  </si>
  <si>
    <r>
      <t xml:space="preserve">7)  </t>
    </r>
    <r>
      <rPr>
        <b/>
        <sz val="10"/>
        <rFont val="Times New Roman"/>
        <family val="1"/>
      </rPr>
      <t>Sale-Leaseback Transactions</t>
    </r>
    <r>
      <rPr>
        <sz val="10"/>
        <rFont val="Times New Roman"/>
        <family val="1"/>
      </rPr>
      <t xml:space="preserve"> - Gain on the sale of property that is accompanied by a leaseback of all or any part of the property for all or part of its remaining economic life (</t>
    </r>
    <r>
      <rPr>
        <b/>
        <u/>
        <sz val="10"/>
        <rFont val="Times New Roman"/>
        <family val="1"/>
      </rPr>
      <t>GASBS No. 65</t>
    </r>
    <r>
      <rPr>
        <sz val="10"/>
        <rFont val="Times New Roman"/>
        <family val="1"/>
      </rPr>
      <t xml:space="preserve"> paragraphs 16 &amp; 18)</t>
    </r>
  </si>
  <si>
    <r>
      <t xml:space="preserve">8) </t>
    </r>
    <r>
      <rPr>
        <b/>
        <sz val="10"/>
        <rFont val="Times New Roman"/>
        <family val="1"/>
      </rPr>
      <t xml:space="preserve"> Lending Activities</t>
    </r>
    <r>
      <rPr>
        <sz val="10"/>
        <rFont val="Times New Roman"/>
        <family val="1"/>
      </rPr>
      <t xml:space="preserve"> - Points received by lender in relation to a loan origination 
(</t>
    </r>
    <r>
      <rPr>
        <b/>
        <u/>
        <sz val="10"/>
        <rFont val="Times New Roman"/>
        <family val="1"/>
      </rPr>
      <t>GASBS No. 65</t>
    </r>
    <r>
      <rPr>
        <sz val="10"/>
        <rFont val="Times New Roman"/>
        <family val="1"/>
      </rPr>
      <t xml:space="preserve"> paragraphs 21 &amp; 22)</t>
    </r>
  </si>
  <si>
    <r>
      <t xml:space="preserve">9)  </t>
    </r>
    <r>
      <rPr>
        <b/>
        <sz val="10"/>
        <rFont val="Times New Roman"/>
        <family val="1"/>
      </rPr>
      <t>Mortgage Banking Activities</t>
    </r>
    <r>
      <rPr>
        <sz val="10"/>
        <rFont val="Times New Roman"/>
        <family val="1"/>
      </rPr>
      <t xml:space="preserve"> - Points received by lender for loans held for investment 
(</t>
    </r>
    <r>
      <rPr>
        <b/>
        <u/>
        <sz val="10"/>
        <rFont val="Times New Roman"/>
        <family val="1"/>
      </rPr>
      <t>GASBS No. 65</t>
    </r>
    <r>
      <rPr>
        <sz val="10"/>
        <rFont val="Times New Roman"/>
        <family val="1"/>
      </rPr>
      <t xml:space="preserve"> paragraphs 25 &amp; 26)</t>
    </r>
  </si>
  <si>
    <r>
      <t xml:space="preserve">10)  </t>
    </r>
    <r>
      <rPr>
        <b/>
        <sz val="10"/>
        <rFont val="Times New Roman"/>
        <family val="1"/>
      </rPr>
      <t>Mortgage Banking Activities</t>
    </r>
    <r>
      <rPr>
        <sz val="10"/>
        <rFont val="Times New Roman"/>
        <family val="1"/>
      </rPr>
      <t xml:space="preserve"> - Origination fees, including any portion related to points, received by lender for loans held for sale (</t>
    </r>
    <r>
      <rPr>
        <b/>
        <u/>
        <sz val="10"/>
        <rFont val="Times New Roman"/>
        <family val="1"/>
      </rPr>
      <t>GASBS No. 65</t>
    </r>
    <r>
      <rPr>
        <sz val="10"/>
        <rFont val="Times New Roman"/>
        <family val="1"/>
      </rPr>
      <t xml:space="preserve"> paragraphs 25 &amp; 26)</t>
    </r>
  </si>
  <si>
    <r>
      <t xml:space="preserve">11)  </t>
    </r>
    <r>
      <rPr>
        <b/>
        <sz val="10"/>
        <rFont val="Times New Roman"/>
        <family val="1"/>
      </rPr>
      <t>Regulated Operations</t>
    </r>
    <r>
      <rPr>
        <sz val="10"/>
        <rFont val="Times New Roman"/>
        <family val="1"/>
      </rPr>
      <t xml:space="preserve"> - Regulator's rate actions that result in an acquisition of net assets from the regulated business-type activity's customers that is applicable to a future reporting period 
(</t>
    </r>
    <r>
      <rPr>
        <b/>
        <u/>
        <sz val="10"/>
        <rFont val="Times New Roman"/>
        <family val="1"/>
      </rPr>
      <t>GASBS No. 65</t>
    </r>
    <r>
      <rPr>
        <sz val="10"/>
        <rFont val="Times New Roman"/>
        <family val="1"/>
      </rPr>
      <t xml:space="preserve"> paragraphs 28 &amp; 29)</t>
    </r>
  </si>
  <si>
    <r>
      <t xml:space="preserve">12) </t>
    </r>
    <r>
      <rPr>
        <b/>
        <sz val="10"/>
        <rFont val="Times New Roman"/>
        <family val="1"/>
      </rPr>
      <t>Irrevocable Split-Interest Agreements</t>
    </r>
    <r>
      <rPr>
        <sz val="10"/>
        <rFont val="Times New Roman"/>
        <family val="1"/>
      </rPr>
      <t xml:space="preserve"> - Government's beneficial interest in an irrevocable split interest agreement (</t>
    </r>
    <r>
      <rPr>
        <b/>
        <u/>
        <sz val="10"/>
        <rFont val="Times New Roman"/>
        <family val="1"/>
      </rPr>
      <t>GASBS No. 81</t>
    </r>
    <r>
      <rPr>
        <sz val="10"/>
        <rFont val="Times New Roman"/>
        <family val="1"/>
      </rPr>
      <t xml:space="preserve">) </t>
    </r>
  </si>
  <si>
    <t>Equity Mutual Funds</t>
  </si>
  <si>
    <t xml:space="preserve">British Pound Sterling </t>
  </si>
  <si>
    <t>Russian Ruble</t>
  </si>
  <si>
    <t xml:space="preserve">Peruvian Sol </t>
  </si>
  <si>
    <r>
      <t>GASBS No. 60</t>
    </r>
    <r>
      <rPr>
        <strike/>
        <sz val="10"/>
        <rFont val="Times New Roman"/>
        <family val="1"/>
      </rPr>
      <t>,</t>
    </r>
    <r>
      <rPr>
        <i/>
        <strike/>
        <sz val="10"/>
        <rFont val="Times New Roman"/>
        <family val="1"/>
      </rPr>
      <t xml:space="preserve"> Accounting and Financial Reporting for Service Concession Arrangements</t>
    </r>
  </si>
  <si>
    <r>
      <rPr>
        <b/>
        <strike/>
        <u/>
        <sz val="10"/>
        <rFont val="Times New Roman"/>
        <family val="1"/>
      </rPr>
      <t>GASBS No. 60</t>
    </r>
    <r>
      <rPr>
        <strike/>
        <sz val="10"/>
        <rFont val="Times New Roman"/>
        <family val="1"/>
      </rPr>
      <t xml:space="preserve"> requires the recognition, measurement and disclosure of information about service concession arrangements.  Service concession arrangements allow a government to leverage existing infrastructure and other public assets to generate additional available resources in the form of up-front payments from an entity for the right to operate those assets.  This statement is for entities using the economic resources measurement focus.  Therefore, it applies to the proprietary fund financial statements, Component Units, Higher Education and government wide statements.  </t>
    </r>
    <r>
      <rPr>
        <b/>
        <strike/>
        <u/>
        <sz val="10"/>
        <rFont val="Times New Roman"/>
        <family val="1"/>
      </rPr>
      <t>GASBS No. 72</t>
    </r>
    <r>
      <rPr>
        <strike/>
        <sz val="10"/>
        <rFont val="Times New Roman"/>
        <family val="1"/>
      </rPr>
      <t xml:space="preserve">, </t>
    </r>
    <r>
      <rPr>
        <i/>
        <strike/>
        <sz val="10"/>
        <rFont val="Times New Roman"/>
        <family val="1"/>
      </rPr>
      <t>Fair Value Measurement and Application</t>
    </r>
    <r>
      <rPr>
        <strike/>
        <sz val="10"/>
        <rFont val="Times New Roman"/>
        <family val="1"/>
      </rPr>
      <t xml:space="preserve">, includes amendments to </t>
    </r>
    <r>
      <rPr>
        <b/>
        <strike/>
        <u/>
        <sz val="10"/>
        <rFont val="Times New Roman"/>
        <family val="1"/>
      </rPr>
      <t>GASBS No. 60</t>
    </r>
    <r>
      <rPr>
        <strike/>
        <sz val="10"/>
        <rFont val="Times New Roman"/>
        <family val="1"/>
      </rPr>
      <t xml:space="preserve">. </t>
    </r>
    <r>
      <rPr>
        <b/>
        <strike/>
        <sz val="10"/>
        <rFont val="Times New Roman"/>
        <family val="1"/>
      </rPr>
      <t xml:space="preserve"> </t>
    </r>
    <r>
      <rPr>
        <sz val="10"/>
        <rFont val="Times New Roman"/>
        <family val="1"/>
      </rPr>
      <t/>
    </r>
  </si>
  <si>
    <r>
      <t>Does the fund have any agreements in place with any outside vendors or governments (operator) where the fund</t>
    </r>
    <r>
      <rPr>
        <b/>
        <strike/>
        <sz val="10"/>
        <rFont val="Times New Roman"/>
        <family val="1"/>
      </rPr>
      <t xml:space="preserve"> qualifies as the transferor </t>
    </r>
    <r>
      <rPr>
        <strike/>
        <sz val="10"/>
        <rFont val="Times New Roman"/>
        <family val="1"/>
      </rPr>
      <t xml:space="preserve">in the following scenario?  The fund (transferor) conveyed to the operator the right and related obligation to provide public services through the use and operation of a capital asset in exchange for significant consideration, such as an up-front payment, installment payments, a new facility, or improvements to an existing facility.
(An example would be a vendor has entered into a contract and made an upfront payment for the right to run the daily operations/maintenance of a fund owned area.  The vendor is allowed to keep all revenues that it charges the public.)
If </t>
    </r>
    <r>
      <rPr>
        <b/>
        <strike/>
        <sz val="10"/>
        <rFont val="Times New Roman"/>
        <family val="1"/>
      </rPr>
      <t>yes</t>
    </r>
    <r>
      <rPr>
        <strike/>
        <sz val="10"/>
        <rFont val="Times New Roman"/>
        <family val="1"/>
      </rPr>
      <t xml:space="preserve">, DOA will send a separate communication. </t>
    </r>
  </si>
  <si>
    <r>
      <t>Does the fund have any agreements in place with a government (transferor) where the fund</t>
    </r>
    <r>
      <rPr>
        <b/>
        <strike/>
        <sz val="10"/>
        <rFont val="Times New Roman"/>
        <family val="1"/>
      </rPr>
      <t xml:space="preserve"> qualifies as the operator </t>
    </r>
    <r>
      <rPr>
        <strike/>
        <sz val="10"/>
        <rFont val="Times New Roman"/>
        <family val="1"/>
      </rPr>
      <t xml:space="preserve">in the following scenario?  The transferor conveyed to the fund (operator) the right and related obligation to provide public services through the use and operation of a capital asset in exchange for significant consideration, such as an up-front payment, installment payments, a new facility, or improvements to an existing facility.
If </t>
    </r>
    <r>
      <rPr>
        <b/>
        <strike/>
        <sz val="10"/>
        <rFont val="Times New Roman"/>
        <family val="1"/>
      </rPr>
      <t>yes</t>
    </r>
    <r>
      <rPr>
        <strike/>
        <sz val="10"/>
        <rFont val="Times New Roman"/>
        <family val="1"/>
      </rPr>
      <t xml:space="preserve">, DOA will send a separate communication. </t>
    </r>
  </si>
  <si>
    <t>15a</t>
  </si>
  <si>
    <t>15b</t>
  </si>
  <si>
    <t>15c</t>
  </si>
  <si>
    <t>15d</t>
  </si>
  <si>
    <r>
      <rPr>
        <b/>
        <u/>
        <sz val="10"/>
        <rFont val="Times New Roman"/>
        <family val="1"/>
      </rPr>
      <t xml:space="preserve"> GASBS No. 91</t>
    </r>
    <r>
      <rPr>
        <sz val="10"/>
        <rFont val="Times New Roman"/>
        <family val="1"/>
      </rPr>
      <t xml:space="preserve">, </t>
    </r>
    <r>
      <rPr>
        <i/>
        <sz val="10"/>
        <rFont val="Times New Roman"/>
        <family val="1"/>
      </rPr>
      <t>Conduit Debt Obligations</t>
    </r>
  </si>
  <si>
    <r>
      <t xml:space="preserve">GASBS No. 94, </t>
    </r>
    <r>
      <rPr>
        <i/>
        <sz val="10"/>
        <rFont val="Times New Roman"/>
        <family val="1"/>
      </rPr>
      <t>Public-Private and Public-Public Partnerships and Availability Payment Arrangements</t>
    </r>
    <r>
      <rPr>
        <sz val="10"/>
        <rFont val="Times New Roman"/>
        <family val="1"/>
      </rPr>
      <t xml:space="preserve"> </t>
    </r>
  </si>
  <si>
    <t>17a</t>
  </si>
  <si>
    <t>17b</t>
  </si>
  <si>
    <t>17c</t>
  </si>
  <si>
    <t>17d</t>
  </si>
  <si>
    <t>17e</t>
  </si>
  <si>
    <r>
      <t xml:space="preserve">14) </t>
    </r>
    <r>
      <rPr>
        <b/>
        <sz val="10"/>
        <rFont val="Times New Roman"/>
        <family val="1"/>
      </rPr>
      <t>Certain Arrangements Associated with Conduit Debt Obligations</t>
    </r>
    <r>
      <rPr>
        <sz val="10"/>
        <rFont val="Times New Roman"/>
        <family val="1"/>
      </rPr>
      <t>:</t>
    </r>
    <r>
      <rPr>
        <sz val="10"/>
        <color rgb="FF000000"/>
        <rFont val="Times New Roman"/>
        <family val="1"/>
      </rPr>
      <t>  In certain arrangements associated with conduit debt obligations where the issuer retains title to capital asset and third-party obligor has exclusive use of portions of the capital asset (</t>
    </r>
    <r>
      <rPr>
        <b/>
        <u/>
        <sz val="10"/>
        <color rgb="FF000000"/>
        <rFont val="Times New Roman"/>
        <family val="1"/>
      </rPr>
      <t>GASBS No. 91</t>
    </r>
    <r>
      <rPr>
        <sz val="10"/>
        <color rgb="FF000000"/>
        <rFont val="Times New Roman"/>
        <family val="1"/>
      </rPr>
      <t xml:space="preserve"> paragraphs 22 and 23) </t>
    </r>
  </si>
  <si>
    <r>
      <rPr>
        <b/>
        <sz val="10"/>
        <rFont val="Times New Roman"/>
        <family val="1"/>
      </rPr>
      <t>Availability Payment Arrangements</t>
    </r>
    <r>
      <rPr>
        <sz val="10"/>
        <rFont val="Times New Roman"/>
        <family val="1"/>
      </rPr>
      <t xml:space="preserve">: Does the fund have any agreements in place with an operator (nongovernmental or governmental entity) where the fund qualifies as the transferor that compensates an operator for activities such as designing, constructing, financing, maintaining, or operating an underlying nonfinancial asset for a period of time in an exchange or exchange-like transaction based entirely on the asset's availability for use rather than on tolls, fees, or similar revenues, pursuant to </t>
    </r>
    <r>
      <rPr>
        <b/>
        <u/>
        <sz val="10"/>
        <rFont val="Times New Roman"/>
        <family val="1"/>
      </rPr>
      <t>GASBS No. 94</t>
    </r>
    <r>
      <rPr>
        <sz val="10"/>
        <rFont val="Times New Roman"/>
        <family val="1"/>
      </rPr>
      <t>?</t>
    </r>
    <r>
      <rPr>
        <b/>
        <sz val="10"/>
        <rFont val="Times New Roman"/>
        <family val="1"/>
      </rPr>
      <t xml:space="preserve">
</t>
    </r>
    <r>
      <rPr>
        <sz val="10"/>
        <rFont val="Times New Roman"/>
        <family val="1"/>
      </rPr>
      <t xml:space="preserve">
If </t>
    </r>
    <r>
      <rPr>
        <b/>
        <sz val="10"/>
        <rFont val="Times New Roman"/>
        <family val="1"/>
      </rPr>
      <t>yes</t>
    </r>
    <r>
      <rPr>
        <sz val="10"/>
        <rFont val="Times New Roman"/>
        <family val="1"/>
      </rPr>
      <t xml:space="preserve">, please provide general information relating to these arrangements.  </t>
    </r>
  </si>
  <si>
    <r>
      <rPr>
        <b/>
        <sz val="10"/>
        <rFont val="Times New Roman"/>
        <family val="1"/>
      </rPr>
      <t>Other PPP arrangements</t>
    </r>
    <r>
      <rPr>
        <sz val="10"/>
        <rFont val="Times New Roman"/>
        <family val="1"/>
      </rPr>
      <t xml:space="preserve">: Does the fund have any PPP arrangements that do NOT qualify as an SCA (question 17b) and are NOT considered leases (question 17c), pursuant to </t>
    </r>
    <r>
      <rPr>
        <b/>
        <u/>
        <sz val="10"/>
        <rFont val="Times New Roman"/>
        <family val="1"/>
      </rPr>
      <t>GASBS No. 94</t>
    </r>
    <r>
      <rPr>
        <sz val="10"/>
        <rFont val="Times New Roman"/>
        <family val="1"/>
      </rPr>
      <t xml:space="preserve">?
If </t>
    </r>
    <r>
      <rPr>
        <b/>
        <sz val="10"/>
        <rFont val="Times New Roman"/>
        <family val="1"/>
      </rPr>
      <t>yes</t>
    </r>
    <r>
      <rPr>
        <sz val="10"/>
        <rFont val="Times New Roman"/>
        <family val="1"/>
      </rPr>
      <t>, please provide the following information for all arrangements: general description, operator or transferor, installment payments, upfront payments, information relating to asset (new, existing, being constructed), and any other information as deemed necessary.</t>
    </r>
  </si>
  <si>
    <r>
      <rPr>
        <b/>
        <sz val="10"/>
        <rFont val="Times New Roman"/>
        <family val="1"/>
      </rPr>
      <t>Valuation Technique:</t>
    </r>
    <r>
      <rPr>
        <sz val="10"/>
        <rFont val="Times New Roman"/>
        <family val="1"/>
      </rPr>
      <t xml:space="preserve">  For items reported using the </t>
    </r>
    <r>
      <rPr>
        <b/>
        <u/>
        <sz val="10"/>
        <rFont val="Times New Roman"/>
        <family val="1"/>
      </rPr>
      <t>GASBS No. 72</t>
    </r>
    <r>
      <rPr>
        <b/>
        <sz val="10"/>
        <rFont val="Times New Roman"/>
        <family val="1"/>
      </rPr>
      <t xml:space="preserve"> </t>
    </r>
    <r>
      <rPr>
        <sz val="10"/>
        <rFont val="Times New Roman"/>
        <family val="1"/>
      </rPr>
      <t>hierarchy in question 13a above, has there been a change in valuation technique(s) from previous year?</t>
    </r>
  </si>
  <si>
    <r>
      <t xml:space="preserve">11) </t>
    </r>
    <r>
      <rPr>
        <b/>
        <sz val="10"/>
        <rFont val="Times New Roman"/>
        <family val="1"/>
      </rPr>
      <t>Leases</t>
    </r>
    <r>
      <rPr>
        <sz val="10"/>
        <rFont val="Times New Roman"/>
        <family val="1"/>
      </rPr>
      <t xml:space="preserve"> - Amounts associated with lease transactions (</t>
    </r>
    <r>
      <rPr>
        <b/>
        <u/>
        <sz val="10"/>
        <rFont val="Times New Roman"/>
        <family val="1"/>
      </rPr>
      <t>GASBS No. 87</t>
    </r>
    <r>
      <rPr>
        <sz val="10"/>
        <rFont val="Times New Roman"/>
        <family val="1"/>
      </rPr>
      <t>)</t>
    </r>
  </si>
  <si>
    <r>
      <t>13)</t>
    </r>
    <r>
      <rPr>
        <b/>
        <sz val="11"/>
        <rFont val="Times New Roman"/>
        <family val="1"/>
      </rPr>
      <t xml:space="preserve"> </t>
    </r>
    <r>
      <rPr>
        <b/>
        <sz val="10"/>
        <rFont val="Times New Roman"/>
        <family val="1"/>
      </rPr>
      <t>Leases</t>
    </r>
    <r>
      <rPr>
        <sz val="10"/>
        <rFont val="Times New Roman"/>
        <family val="1"/>
      </rPr>
      <t xml:space="preserve"> - Amounts associated with lease transactions (</t>
    </r>
    <r>
      <rPr>
        <b/>
        <u/>
        <sz val="10"/>
        <rFont val="Times New Roman"/>
        <family val="1"/>
      </rPr>
      <t>GASBS No. 87</t>
    </r>
    <r>
      <rPr>
        <sz val="10"/>
        <rFont val="Times New Roman"/>
        <family val="1"/>
      </rPr>
      <t>)</t>
    </r>
  </si>
  <si>
    <r>
      <rPr>
        <sz val="10"/>
        <rFont val="Times New Roman"/>
        <family val="1"/>
      </rPr>
      <t>15)</t>
    </r>
    <r>
      <rPr>
        <b/>
        <sz val="10"/>
        <rFont val="Times New Roman"/>
        <family val="1"/>
      </rPr>
      <t xml:space="preserve"> Public-Private and Public-Public Partnerships Arrangements  (PPPs) including Service Concession Arrangements (SCAs)</t>
    </r>
    <r>
      <rPr>
        <sz val="10"/>
        <rFont val="Times New Roman"/>
        <family val="1"/>
      </rPr>
      <t xml:space="preserve"> - Amounts associated with PPPs, including SCAs, when a government is the </t>
    </r>
    <r>
      <rPr>
        <b/>
        <sz val="10"/>
        <rFont val="Times New Roman"/>
        <family val="1"/>
      </rPr>
      <t>transferor</t>
    </r>
    <r>
      <rPr>
        <sz val="10"/>
        <rFont val="Times New Roman"/>
        <family val="1"/>
      </rPr>
      <t xml:space="preserve"> (</t>
    </r>
    <r>
      <rPr>
        <b/>
        <u/>
        <sz val="10"/>
        <rFont val="Times New Roman"/>
        <family val="1"/>
      </rPr>
      <t>GASBS No. 94</t>
    </r>
    <r>
      <rPr>
        <sz val="10"/>
        <rFont val="Times New Roman"/>
        <family val="1"/>
      </rPr>
      <t>)</t>
    </r>
  </si>
  <si>
    <r>
      <rPr>
        <b/>
        <sz val="10"/>
        <color theme="1"/>
        <rFont val="Times New Roman"/>
        <family val="1"/>
      </rPr>
      <t>Public-Private and Public-Public Partnerships (PPPs)</t>
    </r>
    <r>
      <rPr>
        <sz val="10"/>
        <color theme="1"/>
        <rFont val="Times New Roman"/>
        <family val="1"/>
      </rPr>
      <t xml:space="preserve">: Does the fund have any arrangements in place as the operator or transferor that qualify as a PPP pursuant to </t>
    </r>
    <r>
      <rPr>
        <b/>
        <u/>
        <sz val="10"/>
        <color theme="1"/>
        <rFont val="Times New Roman"/>
        <family val="1"/>
      </rPr>
      <t>GASBS No. 94 requirements</t>
    </r>
    <r>
      <rPr>
        <sz val="10"/>
        <color theme="1"/>
        <rFont val="Times New Roman"/>
        <family val="1"/>
      </rPr>
      <t xml:space="preserve">?  
</t>
    </r>
    <r>
      <rPr>
        <i/>
        <sz val="10"/>
        <color theme="1"/>
        <rFont val="Times New Roman"/>
        <family val="1"/>
      </rPr>
      <t xml:space="preserve">A PPP arrangement is when the transferor (a government)  has contracted with an operator (nongovernmental or governmental entity) to provide public services by conveying to the operator control of the right to operate or use a nonfinancial asset , such as infrastructure or other capital asset (underlying PPP asset), for a period of time in an exchange or exchange-like transaction. </t>
    </r>
    <r>
      <rPr>
        <sz val="10"/>
        <color theme="1"/>
        <rFont val="Times New Roman"/>
        <family val="1"/>
      </rPr>
      <t xml:space="preserve">
If </t>
    </r>
    <r>
      <rPr>
        <b/>
        <sz val="10"/>
        <color theme="1"/>
        <rFont val="Times New Roman"/>
        <family val="1"/>
      </rPr>
      <t>yes</t>
    </r>
    <r>
      <rPr>
        <sz val="10"/>
        <color theme="1"/>
        <rFont val="Times New Roman"/>
        <family val="1"/>
      </rPr>
      <t>, please complete questions 17b-d.  DOA will reach out as necessary for additional information.</t>
    </r>
  </si>
  <si>
    <r>
      <rPr>
        <b/>
        <sz val="10"/>
        <rFont val="Times New Roman"/>
        <family val="1"/>
      </rPr>
      <t>Service Concession Arrangements (SCAs)</t>
    </r>
    <r>
      <rPr>
        <sz val="10"/>
        <rFont val="Times New Roman"/>
        <family val="1"/>
      </rPr>
      <t xml:space="preserve">: Does the fund have any PPP arrangements that qualify as an SCA, where the fund is considered the transferor or operator pursuant to </t>
    </r>
    <r>
      <rPr>
        <b/>
        <u/>
        <sz val="10"/>
        <rFont val="Times New Roman"/>
        <family val="1"/>
      </rPr>
      <t>GASBS No. 94</t>
    </r>
    <r>
      <rPr>
        <sz val="10"/>
        <rFont val="Times New Roman"/>
        <family val="1"/>
      </rPr>
      <t xml:space="preserve"> requirements?
</t>
    </r>
    <r>
      <rPr>
        <i/>
        <sz val="10"/>
        <rFont val="Times New Roman"/>
        <family val="1"/>
      </rPr>
      <t>An SCA is a PPP arrangement between a transferor and an operator in which ALL of the following are met:</t>
    </r>
    <r>
      <rPr>
        <sz val="10"/>
        <rFont val="Times New Roman"/>
        <family val="1"/>
      </rPr>
      <t xml:space="preserve">
</t>
    </r>
    <r>
      <rPr>
        <i/>
        <sz val="10"/>
        <rFont val="Times New Roman"/>
        <family val="1"/>
      </rPr>
      <t xml:space="preserve">-the transfer conveys to the operator the right and related obligation to provide public services through the use and operation of an underlying PPP asset in exchange for significant consideration, such as an up-front payment, installment payments, new facility, or improvements to an existing facility
-the operator collects and is compensated by fees from third parties
-the transferor determines or has the ability to modify or approve which services the operator is required to provide, to whom to provide services, and the prices or rates that can be charged
-the transferor is entitled to significant residual interest in the service utility of the underlying PPP asset at the end of the arrangement
</t>
    </r>
    <r>
      <rPr>
        <sz val="10"/>
        <rFont val="Times New Roman"/>
        <family val="1"/>
      </rPr>
      <t xml:space="preserve">If </t>
    </r>
    <r>
      <rPr>
        <b/>
        <sz val="10"/>
        <rFont val="Times New Roman"/>
        <family val="1"/>
      </rPr>
      <t>yes</t>
    </r>
    <r>
      <rPr>
        <sz val="10"/>
        <rFont val="Times New Roman"/>
        <family val="1"/>
      </rPr>
      <t>, please provide the following information for all arrangements: general description, operator or transferor, installment payments, upfront payments, information relating to asset (new, existing, being constructed),  and any other information as deemed necessary.</t>
    </r>
  </si>
  <si>
    <r>
      <rPr>
        <b/>
        <u/>
        <sz val="10"/>
        <rFont val="Times New Roman"/>
        <family val="1"/>
      </rPr>
      <t>GASBS No. 96</t>
    </r>
    <r>
      <rPr>
        <sz val="10"/>
        <rFont val="Times New Roman"/>
        <family val="1"/>
      </rPr>
      <t>,</t>
    </r>
    <r>
      <rPr>
        <i/>
        <sz val="10"/>
        <rFont val="Times New Roman"/>
        <family val="1"/>
      </rPr>
      <t xml:space="preserve"> Subscription-Based Information Technology Agreements</t>
    </r>
    <r>
      <rPr>
        <sz val="10"/>
        <rFont val="Times New Roman"/>
        <family val="1"/>
      </rPr>
      <t xml:space="preserve"> (</t>
    </r>
    <r>
      <rPr>
        <b/>
        <u/>
        <sz val="10"/>
        <rFont val="Times New Roman"/>
        <family val="1"/>
      </rPr>
      <t>Note</t>
    </r>
    <r>
      <rPr>
        <sz val="10"/>
        <rFont val="Times New Roman"/>
        <family val="1"/>
      </rPr>
      <t>: DOA may request additional information in a separate communication.)</t>
    </r>
  </si>
  <si>
    <r>
      <rPr>
        <b/>
        <sz val="10"/>
        <rFont val="Times New Roman"/>
        <family val="1"/>
      </rPr>
      <t>Leases</t>
    </r>
    <r>
      <rPr>
        <sz val="10"/>
        <rFont val="Times New Roman"/>
        <family val="1"/>
      </rPr>
      <t xml:space="preserve">: Does the fund have any PPP arrangements that meet the definition of a lease pursuant to </t>
    </r>
    <r>
      <rPr>
        <b/>
        <u/>
        <sz val="10"/>
        <rFont val="Times New Roman"/>
        <family val="1"/>
      </rPr>
      <t>GASBS No. 87</t>
    </r>
    <r>
      <rPr>
        <sz val="10"/>
        <rFont val="Times New Roman"/>
        <family val="1"/>
      </rPr>
      <t xml:space="preserve">, </t>
    </r>
    <r>
      <rPr>
        <i/>
        <sz val="10"/>
        <rFont val="Times New Roman"/>
        <family val="1"/>
      </rPr>
      <t>Leases</t>
    </r>
    <r>
      <rPr>
        <sz val="10"/>
        <rFont val="Times New Roman"/>
        <family val="1"/>
      </rPr>
      <t xml:space="preserve"> and meets the following criteria, pursuant to </t>
    </r>
    <r>
      <rPr>
        <b/>
        <u/>
        <sz val="10"/>
        <rFont val="Times New Roman"/>
        <family val="1"/>
      </rPr>
      <t>GASBS No. 94</t>
    </r>
    <r>
      <rPr>
        <sz val="10"/>
        <rFont val="Times New Roman"/>
        <family val="1"/>
      </rPr>
      <t xml:space="preserve">?
</t>
    </r>
    <r>
      <rPr>
        <i/>
        <sz val="10"/>
        <rFont val="Times New Roman"/>
        <family val="1"/>
      </rPr>
      <t xml:space="preserve">-existing assets of the transferor are the only underlying PPP assets
-improvements are not required to be made by the operator to the underlying PPP asset
-the PPP does NOT meet the definition of an SCA (question 17b above)
</t>
    </r>
    <r>
      <rPr>
        <sz val="10"/>
        <rFont val="Times New Roman"/>
        <family val="1"/>
      </rPr>
      <t xml:space="preserve">If </t>
    </r>
    <r>
      <rPr>
        <b/>
        <sz val="10"/>
        <rFont val="Times New Roman"/>
        <family val="1"/>
      </rPr>
      <t>yes</t>
    </r>
    <r>
      <rPr>
        <sz val="10"/>
        <rFont val="Times New Roman"/>
        <family val="1"/>
      </rPr>
      <t xml:space="preserve">, please follow all lease reporting requirements per </t>
    </r>
    <r>
      <rPr>
        <b/>
        <u/>
        <sz val="10"/>
        <rFont val="Times New Roman"/>
        <family val="1"/>
      </rPr>
      <t>GASB No.87</t>
    </r>
    <r>
      <rPr>
        <sz val="10"/>
        <rFont val="Times New Roman"/>
        <family val="1"/>
      </rPr>
      <t xml:space="preserve">.  </t>
    </r>
  </si>
  <si>
    <t>Tab 1A, Part 4 for LGIP EM</t>
  </si>
  <si>
    <t>For the Year Ended June 30, 2024</t>
  </si>
  <si>
    <t>Total Receivables as of 
June 30, 2024</t>
  </si>
  <si>
    <t xml:space="preserve">Did the fund receive any donated inventory during fiscal year 2024 for which it had physical custody and for which it distributed or will distribute the inventory?   </t>
  </si>
  <si>
    <t>After June 30, but before financial statements are issued, information may become available indicating that an asset was impaired or a material liability was incurred.  Adjustments to financial statements to reflect this information are required for amounts relating to conditions existing as of June 30, 2024.  An example of an adjustment is a loss on a trade receivable, which is confirmed by the bankruptcy of a customer.  Disclosure is necessary for events that do not relate to conditions at the balance sheet date, but make the financial statements misleading.  This disclosure should indicate the nature of the loss or loss contingency and give an estimate of the amount, or range, of loss or possible loss, or state that such an estimate cannot be made.  An example of a subsequent event requiring disclosure would be the issuance of long-term debt after the balance sheet date but before the statements were issued.</t>
  </si>
  <si>
    <r>
      <t xml:space="preserve">Are there any voluntary termination benefits and/or involuntary termination benefits as of June 30, 2024 included on this template, that must be recognized in accordance with this statement (i.e. early-retirement incentives, severance benefits, and other termination benefits)?  Note: </t>
    </r>
    <r>
      <rPr>
        <b/>
        <u/>
        <sz val="10"/>
        <rFont val="Times New Roman"/>
        <family val="1"/>
      </rPr>
      <t>GASBS No. 47</t>
    </r>
    <r>
      <rPr>
        <sz val="10"/>
        <rFont val="Times New Roman"/>
        <family val="1"/>
      </rPr>
      <t xml:space="preserve"> excludes postemployment benefits (pensions &amp; OPEB), which are part of the compensation that employers offer in exchange for services received or unemployment compensation.</t>
    </r>
  </si>
  <si>
    <t>Does the fund have any construction or other commitment contracts that aggregate to $5 million or more, as of June 30, 2024?
Please submit contractually obligated and non-contractually obligated amounts separately
Note: Please do not include any amounts that are reported on the Balance Sheet.</t>
  </si>
  <si>
    <r>
      <t xml:space="preserve">Derivative Instruments as of June 30, 2024 - Did the fund have any derivative instruments during FY 2024, as defined in </t>
    </r>
    <r>
      <rPr>
        <b/>
        <u/>
        <sz val="10"/>
        <rFont val="Times New Roman"/>
        <family val="1"/>
      </rPr>
      <t>GASBS No. 53</t>
    </r>
    <r>
      <rPr>
        <sz val="10"/>
        <rFont val="Times New Roman"/>
        <family val="1"/>
      </rPr>
      <t xml:space="preserve">?  
If yes, DOA will send a separate communication. </t>
    </r>
  </si>
  <si>
    <t>Deferred Outflows of Resources for FY 2024 on Govwide Fin. Stmt Template Tab:  Does the fund have any deferred outflows of resources to report as of June 30, 2024?  If yes, provide amount.   If amount is different from the amount reported on the template, make corrections as necessary.</t>
  </si>
  <si>
    <t>Deferred Inflows of Resources for FY 2024 on Govwide Fin. Stmt Template Tab:  Does the fund have any deferred inflows of resources to report as of June 30, 2024?  If yes, provide the amounts below.  If amount is different from the amount reported on the template, make corrections as necessary.</t>
  </si>
  <si>
    <r>
      <t xml:space="preserve">Significant Effect on Net Position for FY 2024:  If the answer to any items listed in Parts 12a and/or 12b is yes, is the difference between the deferred outflows of resources or the deferred inflows of resources and the balance of the related asset or liability significant?  If yes, provide an explanation of the effect on net position (i.e., net investment in capital assets, restricted net position, and/or unrestricted net position) as required by </t>
    </r>
    <r>
      <rPr>
        <b/>
        <u/>
        <sz val="10"/>
        <rFont val="Times New Roman"/>
        <family val="1"/>
      </rPr>
      <t>GASBS No. 63</t>
    </r>
    <r>
      <rPr>
        <sz val="10"/>
        <rFont val="Times New Roman"/>
        <family val="1"/>
      </rPr>
      <t xml:space="preserve">, paragraph 14. </t>
    </r>
  </si>
  <si>
    <t>Deferred Outflows of Resources for FY 2024 on Fund Financial Stmt Template tab:  Does the fund have any of the following deferred outflows of resources to report as of June 30, 2024, on the Fund Financial Stmt Template tab?  If yes, provide amount.   If amount is different from the amount reported on the template, either make corrections so amounts will agree or contact DOA to discuss because amounts should agree.</t>
  </si>
  <si>
    <t xml:space="preserve">Deferred Inflows of Resources for FY 2024 on Fund Financial Stmt Template tab:  Does the fund have any of the following deferred inflows of resources to report as of June 30, 2024 on the Fund Financial Stmt Template tab?  If yes, provide the amounts below.  If total amount is different from the amount reported on the template, either make corrections so amounts will agree or contact DOA to discuss because amounts should agree.
</t>
  </si>
  <si>
    <r>
      <t xml:space="preserve">Fair Value:  Does the agency have items that must be reported at fair value in accordance with </t>
    </r>
    <r>
      <rPr>
        <b/>
        <u/>
        <sz val="10"/>
        <rFont val="Times New Roman"/>
        <family val="1"/>
      </rPr>
      <t>GASBS No. 72</t>
    </r>
    <r>
      <rPr>
        <sz val="10"/>
        <rFont val="Times New Roman"/>
        <family val="1"/>
      </rPr>
      <t xml:space="preserve"> for FY 2024?</t>
    </r>
  </si>
  <si>
    <r>
      <t xml:space="preserve">Net Asset Value:  Does the agency have items that are permitted to be reported, and which are reported, at net asset value (NAV) per share (or its equivalent) in accordance with </t>
    </r>
    <r>
      <rPr>
        <b/>
        <u/>
        <sz val="10"/>
        <rFont val="Times New Roman"/>
        <family val="1"/>
      </rPr>
      <t>GASBS No. 72</t>
    </r>
    <r>
      <rPr>
        <sz val="10"/>
        <rFont val="Times New Roman"/>
        <family val="1"/>
      </rPr>
      <t xml:space="preserve"> for FY 2024?</t>
    </r>
  </si>
  <si>
    <r>
      <t xml:space="preserve">Recurring and Nonrecurring Fair Value Measurements: Are items measured at fair value on a recurring basis in accordance with </t>
    </r>
    <r>
      <rPr>
        <b/>
        <u/>
        <sz val="10"/>
        <rFont val="Times New Roman"/>
        <family val="1"/>
      </rPr>
      <t>GASBS No. 72</t>
    </r>
    <r>
      <rPr>
        <sz val="10"/>
        <rFont val="Times New Roman"/>
        <family val="1"/>
      </rPr>
      <t xml:space="preserve"> for FY 2024? </t>
    </r>
  </si>
  <si>
    <r>
      <t xml:space="preserve">Acquisition Value:  Does the agency have items received during FY 2024 that must be reported at acquisition value in accordance with </t>
    </r>
    <r>
      <rPr>
        <b/>
        <u/>
        <sz val="10"/>
        <rFont val="Times New Roman"/>
        <family val="1"/>
      </rPr>
      <t>GASBS No. 72</t>
    </r>
    <r>
      <rPr>
        <sz val="10"/>
        <rFont val="Times New Roman"/>
        <family val="1"/>
      </rPr>
      <t xml:space="preserve"> paragraph 79?</t>
    </r>
  </si>
  <si>
    <r>
      <t xml:space="preserve">Does the fund have any leases or financed purchase obligations in accordance with </t>
    </r>
    <r>
      <rPr>
        <b/>
        <u/>
        <sz val="10"/>
        <rFont val="Times New Roman"/>
        <family val="1"/>
      </rPr>
      <t>GASBS No. 87</t>
    </r>
    <r>
      <rPr>
        <sz val="10"/>
        <rFont val="Times New Roman"/>
        <family val="1"/>
      </rPr>
      <t xml:space="preserve"> as amended by </t>
    </r>
    <r>
      <rPr>
        <b/>
        <u/>
        <sz val="10"/>
        <rFont val="Times New Roman"/>
        <family val="1"/>
      </rPr>
      <t>GASBS No. 94</t>
    </r>
    <r>
      <rPr>
        <sz val="10"/>
        <rFont val="Times New Roman"/>
        <family val="1"/>
      </rPr>
      <t xml:space="preserve"> paragraph 9 to report as of June 30, 2024?
If</t>
    </r>
    <r>
      <rPr>
        <b/>
        <sz val="10"/>
        <rFont val="Times New Roman"/>
        <family val="1"/>
      </rPr>
      <t xml:space="preserve"> yes</t>
    </r>
    <r>
      <rPr>
        <sz val="10"/>
        <rFont val="Times New Roman"/>
        <family val="1"/>
      </rPr>
      <t>, please provide amount and description below.</t>
    </r>
  </si>
  <si>
    <t>Does the fund have unused lines of credit external to the Commonwealth as of June 30, 2024?
Note: Do not include lines of credit with the Department of Treasury.</t>
  </si>
  <si>
    <t>Does the fund have assets pledged as collateral for debt as of June 30, 2024?</t>
  </si>
  <si>
    <r>
      <t xml:space="preserve">If </t>
    </r>
    <r>
      <rPr>
        <b/>
        <sz val="10"/>
        <rFont val="Times New Roman"/>
        <family val="1"/>
      </rPr>
      <t>yes</t>
    </r>
    <r>
      <rPr>
        <sz val="10"/>
        <rFont val="Times New Roman"/>
        <family val="1"/>
      </rPr>
      <t>, then provide the debt item and a description of the assets pledged as collateral for the debt as of June 30, 2024.</t>
    </r>
  </si>
  <si>
    <r>
      <t xml:space="preserve">Does the agency have any Conduit Debt that will need to be reported in FY 2024 pursuant to </t>
    </r>
    <r>
      <rPr>
        <b/>
        <u/>
        <sz val="10"/>
        <color theme="1"/>
        <rFont val="Times New Roman"/>
        <family val="1"/>
      </rPr>
      <t>GASBS No. 91</t>
    </r>
    <r>
      <rPr>
        <sz val="10"/>
        <color theme="1"/>
        <rFont val="Times New Roman"/>
        <family val="1"/>
      </rPr>
      <t xml:space="preserve">, </t>
    </r>
    <r>
      <rPr>
        <i/>
        <sz val="10"/>
        <color theme="1"/>
        <rFont val="Times New Roman"/>
        <family val="1"/>
      </rPr>
      <t>Conduit Debt Obligations</t>
    </r>
    <r>
      <rPr>
        <sz val="10"/>
        <color theme="1"/>
        <rFont val="Times New Roman"/>
        <family val="1"/>
      </rPr>
      <t xml:space="preserve">? If yes, provide a brief description, including any type of commitment for the obligation.  DOA may request additional information in a separate communication.
Refer to GASB's website at </t>
    </r>
    <r>
      <rPr>
        <sz val="10"/>
        <color rgb="FF0000FF"/>
        <rFont val="Times New Roman"/>
        <family val="1"/>
      </rPr>
      <t>www.gasb.org</t>
    </r>
    <r>
      <rPr>
        <sz val="10"/>
        <color theme="1"/>
        <rFont val="Times New Roman"/>
        <family val="1"/>
      </rPr>
      <t xml:space="preserve"> for information regarding </t>
    </r>
    <r>
      <rPr>
        <b/>
        <u/>
        <sz val="10"/>
        <color theme="1"/>
        <rFont val="Times New Roman"/>
        <family val="1"/>
      </rPr>
      <t>GASBS No. 91</t>
    </r>
    <r>
      <rPr>
        <sz val="10"/>
        <color theme="1"/>
        <rFont val="Times New Roman"/>
        <family val="1"/>
      </rPr>
      <t xml:space="preserve">. </t>
    </r>
    <r>
      <rPr>
        <b/>
        <u/>
        <sz val="10"/>
        <color theme="1"/>
        <rFont val="Times New Roman"/>
        <family val="1"/>
      </rPr>
      <t>GASB No. 94</t>
    </r>
    <r>
      <rPr>
        <sz val="10"/>
        <color theme="1"/>
        <rFont val="Times New Roman"/>
        <family val="1"/>
      </rPr>
      <t xml:space="preserve">, </t>
    </r>
    <r>
      <rPr>
        <i/>
        <sz val="10"/>
        <color theme="1"/>
        <rFont val="Times New Roman"/>
        <family val="1"/>
      </rPr>
      <t>Public-Private and Public-Public Partnerships and Availability Payment Arrangements</t>
    </r>
    <r>
      <rPr>
        <sz val="10"/>
        <color theme="1"/>
        <rFont val="Times New Roman"/>
        <family val="1"/>
      </rPr>
      <t xml:space="preserve">, includes amendments to </t>
    </r>
    <r>
      <rPr>
        <b/>
        <u/>
        <sz val="10"/>
        <color theme="1"/>
        <rFont val="Times New Roman"/>
        <family val="1"/>
      </rPr>
      <t>GASBS No. 91</t>
    </r>
    <r>
      <rPr>
        <sz val="10"/>
        <color theme="1"/>
        <rFont val="Times New Roman"/>
        <family val="1"/>
      </rPr>
      <t>.</t>
    </r>
  </si>
  <si>
    <t>02006</t>
  </si>
  <si>
    <t>SCC Commwlth Health Reins Prgm</t>
  </si>
  <si>
    <t>02027</t>
  </si>
  <si>
    <t>2021 Triennial Review</t>
  </si>
  <si>
    <t>02662</t>
  </si>
  <si>
    <t>2023 Individual Incm Tx Rbt Fd</t>
  </si>
  <si>
    <t>02930</t>
  </si>
  <si>
    <t>MidwestVetSupplyLegal Proceeds</t>
  </si>
  <si>
    <t>03018</t>
  </si>
  <si>
    <t>03095</t>
  </si>
  <si>
    <t>03460</t>
  </si>
  <si>
    <t>Innovative internship Fund</t>
  </si>
  <si>
    <t>03490</t>
  </si>
  <si>
    <t>NewEconomyWrkfrcCrdntlGrntFnd</t>
  </si>
  <si>
    <t>05180</t>
  </si>
  <si>
    <t>Enhanced Benefits and Access</t>
  </si>
  <si>
    <t>07016</t>
  </si>
  <si>
    <t>Live Nation Settlement</t>
  </si>
  <si>
    <t>07084</t>
  </si>
  <si>
    <t>Monsanto Settlement</t>
  </si>
  <si>
    <t>07292</t>
  </si>
  <si>
    <t>RISE IDA Trust</t>
  </si>
  <si>
    <t>07902</t>
  </si>
  <si>
    <t>Trust and Agency - P-VCC</t>
  </si>
  <si>
    <t>07903</t>
  </si>
  <si>
    <t>Trust and Agency - JC-VCC</t>
  </si>
  <si>
    <t>09065</t>
  </si>
  <si>
    <t>Gaming Regulatory Fund</t>
  </si>
  <si>
    <t>09068</t>
  </si>
  <si>
    <t>Sealing Fee Fund</t>
  </si>
  <si>
    <t>09074</t>
  </si>
  <si>
    <t>09075</t>
  </si>
  <si>
    <t>Major Hdqrtrs Workfrce Grnt Fd</t>
  </si>
  <si>
    <t>09083</t>
  </si>
  <si>
    <t>Ship&amp;Logistics Hdqrtrs Grnt Fd</t>
  </si>
  <si>
    <t>09093</t>
  </si>
  <si>
    <t>09096</t>
  </si>
  <si>
    <t>School Construction Fund</t>
  </si>
  <si>
    <t>09097</t>
  </si>
  <si>
    <t>Cmwlth Opioid Abtmnt&amp;Remediatn</t>
  </si>
  <si>
    <t>12460</t>
  </si>
  <si>
    <t>ChldNutrnDisGrtLmtAvl-COVID-19</t>
  </si>
  <si>
    <t>12480</t>
  </si>
  <si>
    <t>SrFarmrMrktNutrtnPgm-COVID-19</t>
  </si>
  <si>
    <t>12550</t>
  </si>
  <si>
    <t>St/Tribal Respns Pgm Grnt-IIJA</t>
  </si>
  <si>
    <t>12560</t>
  </si>
  <si>
    <t>Off for Coastal Managemnt-IIJA</t>
  </si>
  <si>
    <t>12570</t>
  </si>
  <si>
    <t>AbandMineLandReclamatnPgm-IIJA</t>
  </si>
  <si>
    <t>12580</t>
  </si>
  <si>
    <t>State Energy Program - IIJA</t>
  </si>
  <si>
    <t>12590</t>
  </si>
  <si>
    <t>SWIFR Infrastrctr Grants-IIJA</t>
  </si>
  <si>
    <t>12600</t>
  </si>
  <si>
    <t>PrvtnDisDsbDthInfctDs-COVID-19</t>
  </si>
  <si>
    <t>12610</t>
  </si>
  <si>
    <t>EmrgncyMgmtPrfrmncGrt-COVID-19</t>
  </si>
  <si>
    <t>12620</t>
  </si>
  <si>
    <t>GrantStateLoanRepymnt-COVID-19</t>
  </si>
  <si>
    <t>12640</t>
  </si>
  <si>
    <t>PblcHlthTraingCtrPrg-COVID-19</t>
  </si>
  <si>
    <t>12660</t>
  </si>
  <si>
    <t>CDCAcadStrgthPubHlth-COVID-19</t>
  </si>
  <si>
    <t>EconomicAdjstmntAstnc-COVID-19</t>
  </si>
  <si>
    <t>12710</t>
  </si>
  <si>
    <t>LowIncHshldWtrAsstPrg-COVID-19</t>
  </si>
  <si>
    <t>NatGeolgc/GeophyDataPrsrv-IIJA</t>
  </si>
  <si>
    <t>12830</t>
  </si>
  <si>
    <t>IIJACmmntyWldfrDfnsGrnts-IIJA</t>
  </si>
  <si>
    <t>12930</t>
  </si>
  <si>
    <t>IIJA Temp Bridge Prgm - IIJA</t>
  </si>
  <si>
    <t>12940</t>
  </si>
  <si>
    <t>IIJAPrscrbdFire/FireRcvry-IIJA</t>
  </si>
  <si>
    <t>12950</t>
  </si>
  <si>
    <t>IIJARestor/Revegtation-IIJA</t>
  </si>
  <si>
    <t>12960</t>
  </si>
  <si>
    <t>SuperfdSite-SpecCoopAgrmt-IIJA</t>
  </si>
  <si>
    <t>12970</t>
  </si>
  <si>
    <t>Cooperatv Forestry Assist-IIJA</t>
  </si>
  <si>
    <t>12980</t>
  </si>
  <si>
    <t>Forest Health Protection-IIJA</t>
  </si>
  <si>
    <t>12990</t>
  </si>
  <si>
    <t>StPrvForestryCoopFireAsst-IIJA</t>
  </si>
  <si>
    <t>new for FY 2024 to confirm CY updated list =</t>
  </si>
  <si>
    <t>FY 2023 Balances</t>
  </si>
  <si>
    <t>FY 2023 ENDING FUND BALANCE</t>
  </si>
  <si>
    <t>Cayman Islands</t>
  </si>
  <si>
    <t>Chinese RMB</t>
  </si>
  <si>
    <t>Dominican Republic Peso</t>
  </si>
  <si>
    <t>United Arab Emirates Dollar</t>
  </si>
  <si>
    <t>Uruguayan Peso</t>
  </si>
  <si>
    <t>Adjustments were made to Fund Financial Stmt Template in order to reclassify Transfers Out to Expenditure - Administration of Justice on a cash basis since this was considered a more appropriate classification for reporting purposes in the Annual Comprehensive Financial Report.  Ensure to make similar adjustments for FY 2024 as necessary.
Cash Basis:
Expenditure - Administration of Justice ------------------  2,237
       Transfers Out --------------------  2,237</t>
  </si>
  <si>
    <t>OFFICE OF DATA GOVERNANCE AND ANALYTICS (Per email from Bryan Duffee, agency 167 is on hold, per request while awaiting legislation) and is in the process of being set up in Cardinal FIN.</t>
  </si>
  <si>
    <t>Per Bryan Duffee, agency is in the process of being set up in Cardinal FIN.</t>
  </si>
  <si>
    <t>AMERICAN REVOLUTION 250 COMMISSION</t>
  </si>
  <si>
    <t>Claire Ivill</t>
  </si>
  <si>
    <t>VIRGINIA CANNABIS CONTROL AUTHORITY</t>
  </si>
  <si>
    <t>Name Change from Virginia Veterans Care Center to Davis &amp; McDaniel Veterans Care Center</t>
  </si>
  <si>
    <t>509</t>
  </si>
  <si>
    <t>Sandra Peterson</t>
  </si>
  <si>
    <t>DAVIS &amp; MCDANIEL VETERANS CARE CENTER</t>
  </si>
  <si>
    <t>Richard M. Whitfield</t>
  </si>
  <si>
    <t>Control Agency Change</t>
  </si>
  <si>
    <t>David M. Morrison</t>
  </si>
  <si>
    <t>OFFICE OF DATA GOVERNANCE AND ANALYTICS</t>
  </si>
  <si>
    <t>Anthony Dib</t>
  </si>
  <si>
    <t xml:space="preserve">New Agency </t>
  </si>
  <si>
    <t>Alicia Diehl</t>
  </si>
  <si>
    <t>Xiaojing Wang</t>
  </si>
  <si>
    <t>Dan Hinderliter</t>
  </si>
  <si>
    <t>Hope Larson</t>
  </si>
  <si>
    <t>Andrew M. Harris</t>
  </si>
  <si>
    <t>Chase Chandler</t>
  </si>
  <si>
    <t>DEPARTMENT OF WORKFORCE DEVELOPMENT AND ADVANCEMENT</t>
  </si>
  <si>
    <t>Lauren Katchuk</t>
  </si>
  <si>
    <t>Roberta Gargiulo</t>
  </si>
  <si>
    <t>Will Nixon</t>
  </si>
  <si>
    <t>Laura Brown</t>
  </si>
  <si>
    <t>BROWN V. BOARD OF EDUCATION SCHOLARSHIP COMMITTEE</t>
  </si>
  <si>
    <t>Jamie Patten</t>
  </si>
  <si>
    <t xml:space="preserve">DEPARTMENT OF TREASURY - TRUST FUNDS </t>
  </si>
  <si>
    <t xml:space="preserve">DEPARTMENT OF TREASURY - STATEWIDE ACTIVITIES  </t>
  </si>
  <si>
    <t>Explanations for Restatement:</t>
  </si>
  <si>
    <t>Type of Restatement</t>
  </si>
  <si>
    <r>
      <rPr>
        <b/>
        <u/>
        <sz val="10"/>
        <rFont val="Times New Roman"/>
        <family val="1"/>
      </rPr>
      <t>GASBS No. 100</t>
    </r>
    <r>
      <rPr>
        <sz val="10"/>
        <rFont val="Times New Roman"/>
        <family val="1"/>
      </rPr>
      <t xml:space="preserve">, </t>
    </r>
    <r>
      <rPr>
        <i/>
        <sz val="10"/>
        <rFont val="Times New Roman"/>
        <family val="1"/>
      </rPr>
      <t>Accounting Changes and Error Corrections</t>
    </r>
    <r>
      <rPr>
        <sz val="10"/>
        <rFont val="Times New Roman"/>
        <family val="1"/>
      </rPr>
      <t>. (Note: DOA may request additional information in a separate communication.)</t>
    </r>
  </si>
  <si>
    <t>Change in Accounting Principle</t>
  </si>
  <si>
    <t>Error Corrections</t>
  </si>
  <si>
    <t>Changes to/within the Financial Reporting Entity</t>
  </si>
  <si>
    <t>Tab 1A, Parts 6-11, 1B, 1C</t>
  </si>
  <si>
    <r>
      <t xml:space="preserve">Portion of Total Receivables To be Collected After
</t>
    </r>
    <r>
      <rPr>
        <b/>
        <sz val="8"/>
        <rFont val="Times New Roman"/>
        <family val="1"/>
      </rPr>
      <t>June 30, 2025</t>
    </r>
  </si>
  <si>
    <r>
      <t xml:space="preserve">12)  </t>
    </r>
    <r>
      <rPr>
        <b/>
        <sz val="10"/>
        <rFont val="Times New Roman"/>
        <family val="1"/>
      </rPr>
      <t>Public-Private and Public-Public Partnerships Arrangements (PPPs) NOT including Service Concession Arrangements (SCAs)</t>
    </r>
    <r>
      <rPr>
        <sz val="10"/>
        <rFont val="Times New Roman"/>
        <family val="1"/>
      </rPr>
      <t xml:space="preserve"> -  Amounts associated with PPPs, not including SCAs, when the government as the </t>
    </r>
    <r>
      <rPr>
        <b/>
        <sz val="10"/>
        <rFont val="Times New Roman"/>
        <family val="1"/>
      </rPr>
      <t>operator</t>
    </r>
    <r>
      <rPr>
        <sz val="10"/>
        <rFont val="Times New Roman"/>
        <family val="1"/>
      </rPr>
      <t xml:space="preserve"> purchases or constructs the new underlying PPP asset to be transferred to transferor   (</t>
    </r>
    <r>
      <rPr>
        <b/>
        <u/>
        <sz val="10"/>
        <rFont val="Times New Roman"/>
        <family val="1"/>
      </rPr>
      <t>GASBS No. 94</t>
    </r>
    <r>
      <rPr>
        <sz val="10"/>
        <rFont val="Times New Roman"/>
        <family val="1"/>
      </rPr>
      <t xml:space="preserve">, as amended by </t>
    </r>
    <r>
      <rPr>
        <b/>
        <u/>
        <sz val="10"/>
        <rFont val="Times New Roman"/>
        <family val="1"/>
      </rPr>
      <t>GASBS No. 99</t>
    </r>
    <r>
      <rPr>
        <sz val="10"/>
        <rFont val="Times New Roman"/>
        <family val="1"/>
      </rPr>
      <t xml:space="preserve"> paragraph 22)</t>
    </r>
  </si>
  <si>
    <r>
      <rPr>
        <b/>
        <u/>
        <sz val="10"/>
        <rFont val="Times New Roman"/>
        <family val="1"/>
      </rPr>
      <t>GASBS No. 63</t>
    </r>
    <r>
      <rPr>
        <sz val="10"/>
        <rFont val="Times New Roman"/>
        <family val="1"/>
      </rPr>
      <t xml:space="preserve"> provides financial reporting guidance for the presentation of deferred outflows of resources and deferred inflows of resources, which are distinct from assets and liabilities, and their effects on a government’s net position.   Concepts Statement No. 4 states that the recognition of deferred outflows of resources and deferred inflows of resources should be limited to those instances identified by the GASB in authoritative pronouncements.    The following GASB statements require the reporting of deferred outflows of resources and/or deferred inflows of resources:  
-</t>
    </r>
    <r>
      <rPr>
        <b/>
        <u/>
        <sz val="10"/>
        <rFont val="Times New Roman"/>
        <family val="1"/>
      </rPr>
      <t>GASBS No. 53</t>
    </r>
    <r>
      <rPr>
        <sz val="10"/>
        <rFont val="Times New Roman"/>
        <family val="1"/>
      </rPr>
      <t xml:space="preserve">, </t>
    </r>
    <r>
      <rPr>
        <i/>
        <sz val="10"/>
        <rFont val="Times New Roman"/>
        <family val="1"/>
      </rPr>
      <t>Accounting and Financial Reporting for Derivative Instruments,</t>
    </r>
    <r>
      <rPr>
        <sz val="10"/>
        <rFont val="Times New Roman"/>
        <family val="1"/>
      </rPr>
      <t xml:space="preserve"> 
-</t>
    </r>
    <r>
      <rPr>
        <b/>
        <u/>
        <sz val="10"/>
        <rFont val="Times New Roman"/>
        <family val="1"/>
      </rPr>
      <t>GASBS No. 65</t>
    </r>
    <r>
      <rPr>
        <sz val="10"/>
        <rFont val="Times New Roman"/>
        <family val="1"/>
      </rPr>
      <t xml:space="preserve">, </t>
    </r>
    <r>
      <rPr>
        <i/>
        <sz val="10"/>
        <rFont val="Times New Roman"/>
        <family val="1"/>
      </rPr>
      <t>Items Previously Reported as Assets and Liabilities,</t>
    </r>
    <r>
      <rPr>
        <sz val="10"/>
        <rFont val="Times New Roman"/>
        <family val="1"/>
      </rPr>
      <t xml:space="preserve">
-</t>
    </r>
    <r>
      <rPr>
        <b/>
        <u/>
        <sz val="10"/>
        <rFont val="Times New Roman"/>
        <family val="1"/>
      </rPr>
      <t>GASBS No. 69</t>
    </r>
    <r>
      <rPr>
        <sz val="10"/>
        <rFont val="Times New Roman"/>
        <family val="1"/>
      </rPr>
      <t xml:space="preserve">, </t>
    </r>
    <r>
      <rPr>
        <i/>
        <sz val="10"/>
        <rFont val="Times New Roman"/>
        <family val="1"/>
      </rPr>
      <t xml:space="preserve">Government Combinations and Disposals of Government Operations,  
</t>
    </r>
    <r>
      <rPr>
        <sz val="10"/>
        <rFont val="Times New Roman"/>
        <family val="1"/>
      </rPr>
      <t>-</t>
    </r>
    <r>
      <rPr>
        <b/>
        <u/>
        <sz val="10"/>
        <rFont val="Times New Roman"/>
        <family val="1"/>
      </rPr>
      <t>GASBS No. 81</t>
    </r>
    <r>
      <rPr>
        <i/>
        <sz val="10"/>
        <rFont val="Times New Roman"/>
        <family val="1"/>
      </rPr>
      <t xml:space="preserve">, Irrevocable Split-Interest Agreement, </t>
    </r>
    <r>
      <rPr>
        <sz val="10"/>
        <rFont val="Times New Roman"/>
        <family val="1"/>
      </rPr>
      <t xml:space="preserve">
-</t>
    </r>
    <r>
      <rPr>
        <b/>
        <u/>
        <sz val="10"/>
        <rFont val="Times New Roman"/>
        <family val="1"/>
      </rPr>
      <t>GASBS No. 83</t>
    </r>
    <r>
      <rPr>
        <sz val="10"/>
        <rFont val="Times New Roman"/>
        <family val="1"/>
      </rPr>
      <t xml:space="preserve">, </t>
    </r>
    <r>
      <rPr>
        <i/>
        <sz val="10"/>
        <rFont val="Times New Roman"/>
        <family val="1"/>
      </rPr>
      <t>Certain Asset Retirement Obligations</t>
    </r>
    <r>
      <rPr>
        <sz val="10"/>
        <rFont val="Times New Roman"/>
        <family val="1"/>
      </rPr>
      <t>, 
-</t>
    </r>
    <r>
      <rPr>
        <b/>
        <u/>
        <sz val="10"/>
        <rFont val="Times New Roman"/>
        <family val="1"/>
      </rPr>
      <t>GASBS No. 87</t>
    </r>
    <r>
      <rPr>
        <sz val="10"/>
        <rFont val="Times New Roman"/>
        <family val="1"/>
      </rPr>
      <t xml:space="preserve">, </t>
    </r>
    <r>
      <rPr>
        <i/>
        <sz val="10"/>
        <rFont val="Times New Roman"/>
        <family val="1"/>
      </rPr>
      <t>Leases, 
-</t>
    </r>
    <r>
      <rPr>
        <b/>
        <u/>
        <sz val="10"/>
        <rFont val="Times New Roman"/>
        <family val="1"/>
      </rPr>
      <t>GASBS No. 91</t>
    </r>
    <r>
      <rPr>
        <i/>
        <sz val="10"/>
        <rFont val="Times New Roman"/>
        <family val="1"/>
      </rPr>
      <t xml:space="preserve">, Conduit Debt Obligations,
</t>
    </r>
    <r>
      <rPr>
        <sz val="10"/>
        <rFont val="Times New Roman"/>
        <family val="1"/>
      </rPr>
      <t>-</t>
    </r>
    <r>
      <rPr>
        <b/>
        <u/>
        <sz val="10"/>
        <rFont val="Times New Roman"/>
        <family val="1"/>
      </rPr>
      <t>GASBS No. 94</t>
    </r>
    <r>
      <rPr>
        <sz val="10"/>
        <rFont val="Times New Roman"/>
        <family val="1"/>
      </rPr>
      <t xml:space="preserve">, </t>
    </r>
    <r>
      <rPr>
        <i/>
        <sz val="10"/>
        <rFont val="Times New Roman"/>
        <family val="1"/>
      </rPr>
      <t>Public-Private and Public-Public Partnerships and Availability Payment Arrangements, and</t>
    </r>
    <r>
      <rPr>
        <sz val="10"/>
        <rFont val="Times New Roman"/>
        <family val="1"/>
      </rPr>
      <t xml:space="preserve">
-</t>
    </r>
    <r>
      <rPr>
        <b/>
        <u/>
        <sz val="10"/>
        <rFont val="Times New Roman"/>
        <family val="1"/>
      </rPr>
      <t>GASBS No. 99</t>
    </r>
    <r>
      <rPr>
        <sz val="10"/>
        <rFont val="Times New Roman"/>
        <family val="1"/>
      </rPr>
      <t xml:space="preserve">, </t>
    </r>
    <r>
      <rPr>
        <i/>
        <sz val="10"/>
        <rFont val="Times New Roman"/>
        <family val="1"/>
      </rPr>
      <t>Omnibus 2022</t>
    </r>
    <r>
      <rPr>
        <sz val="10"/>
        <rFont val="Times New Roman"/>
        <family val="1"/>
      </rPr>
      <t xml:space="preserve">.
</t>
    </r>
    <r>
      <rPr>
        <b/>
        <u/>
        <sz val="10"/>
        <rFont val="Times New Roman"/>
        <family val="1"/>
      </rPr>
      <t>GASBS No. 63,</t>
    </r>
    <r>
      <rPr>
        <sz val="10"/>
        <rFont val="Times New Roman"/>
        <family val="1"/>
      </rPr>
      <t xml:space="preserve"> paragraph 13 requires disclosures in the notes to the financial statement for the different types of deferred amounts if amounts are aggregated in the statements and significant components of the total deferred amounts are obscured by aggregation on the face of the statements.  In addition, </t>
    </r>
    <r>
      <rPr>
        <b/>
        <u/>
        <sz val="10"/>
        <rFont val="Times New Roman"/>
        <family val="1"/>
      </rPr>
      <t>GASBS No. 63,</t>
    </r>
    <r>
      <rPr>
        <sz val="10"/>
        <rFont val="Times New Roman"/>
        <family val="1"/>
      </rPr>
      <t xml:space="preserve"> paragraph 14 requires a disclosure to explain the effect on net position for a significant difference between the deferred outflows of resources or the deferred inflows of resources and the related asset or liability.
Part 12 includes questions regarding the reporting of deferred outflows of resources and deferred inflows of resources.  </t>
    </r>
  </si>
  <si>
    <r>
      <t xml:space="preserve">Per </t>
    </r>
    <r>
      <rPr>
        <b/>
        <strike/>
        <u/>
        <sz val="10"/>
        <rFont val="Times New Roman"/>
        <family val="1"/>
      </rPr>
      <t>GASBS No. 53</t>
    </r>
    <r>
      <rPr>
        <b/>
        <strike/>
        <sz val="10"/>
        <rFont val="Times New Roman"/>
        <family val="1"/>
      </rPr>
      <t>, derivative instruments</t>
    </r>
    <r>
      <rPr>
        <strike/>
        <sz val="10"/>
        <rFont val="Times New Roman"/>
        <family val="1"/>
      </rPr>
      <t xml:space="preserve"> should be measured at fair value, except for fully benefit responsive-SGICs, which should be measured at contract value.  The derivative instrument classification depends on whether the derivative instrument represents assets or liabilities.  If the fund does not have a line item that properly classifies the derivative instrument, contact DOA for additional information. </t>
    </r>
    <r>
      <rPr>
        <b/>
        <strike/>
        <u/>
        <sz val="10"/>
        <rFont val="Times New Roman"/>
        <family val="1"/>
      </rPr>
      <t>GASBS No. 72</t>
    </r>
    <r>
      <rPr>
        <strike/>
        <sz val="10"/>
        <rFont val="Times New Roman"/>
        <family val="1"/>
      </rPr>
      <t xml:space="preserve"> amended </t>
    </r>
    <r>
      <rPr>
        <b/>
        <strike/>
        <u/>
        <sz val="10"/>
        <rFont val="Times New Roman"/>
        <family val="1"/>
      </rPr>
      <t>GASBS No. 53</t>
    </r>
    <r>
      <rPr>
        <strike/>
        <sz val="10"/>
        <rFont val="Times New Roman"/>
        <family val="1"/>
      </rPr>
      <t xml:space="preserve"> and requires fair value to be determined consistent with the requirements of </t>
    </r>
    <r>
      <rPr>
        <b/>
        <strike/>
        <u/>
        <sz val="10"/>
        <rFont val="Times New Roman"/>
        <family val="1"/>
      </rPr>
      <t>GASBS No. 72</t>
    </r>
    <r>
      <rPr>
        <strike/>
        <sz val="10"/>
        <rFont val="Times New Roman"/>
        <family val="1"/>
      </rPr>
      <t>.</t>
    </r>
  </si>
  <si>
    <r>
      <t>Change in fair values:  hedging derivative instrument - effective hedge</t>
    </r>
    <r>
      <rPr>
        <strike/>
        <sz val="10"/>
        <rFont val="Times New Roman"/>
        <family val="1"/>
      </rPr>
      <t>:   The "Deferred Outflows of Resources" and the  "Deferred Inflows of Resources" template line items are to report the change in fair values of hedging derivative instruments - effective hedges.</t>
    </r>
  </si>
  <si>
    <r>
      <t>Change in fair values:  investment derivative instrument - ineffective hedge &amp; investment derivative instrument -</t>
    </r>
    <r>
      <rPr>
        <strike/>
        <sz val="10"/>
        <rFont val="Times New Roman"/>
        <family val="1"/>
      </rPr>
      <t xml:space="preserve"> a) held primarily for the purpose of income or profit, and b) has a present service capacity based solely on its ability to generate cash.</t>
    </r>
  </si>
  <si>
    <r>
      <t xml:space="preserve">Modified Accrual Basis 
</t>
    </r>
    <r>
      <rPr>
        <b/>
        <sz val="9"/>
        <color theme="1"/>
        <rFont val="Times New Roman"/>
        <family val="1"/>
      </rPr>
      <t xml:space="preserve">(Tab - Fund Financial 
Stmt Template) </t>
    </r>
  </si>
  <si>
    <t xml:space="preserve">Brazilian Real </t>
  </si>
  <si>
    <t xml:space="preserve">Estonian Kroon </t>
  </si>
  <si>
    <t xml:space="preserve">Pakistani Rupee </t>
  </si>
  <si>
    <t>Commitments</t>
  </si>
  <si>
    <r>
      <t xml:space="preserve">The purpose of </t>
    </r>
    <r>
      <rPr>
        <b/>
        <u/>
        <sz val="10"/>
        <rFont val="Times New Roman"/>
        <family val="1"/>
      </rPr>
      <t>GASBS No. 53</t>
    </r>
    <r>
      <rPr>
        <sz val="10"/>
        <rFont val="Times New Roman"/>
        <family val="1"/>
      </rPr>
      <t xml:space="preserve"> is to provide financial reporting standards for derivative instruments.  The following GASB Statements have amended </t>
    </r>
    <r>
      <rPr>
        <b/>
        <u/>
        <sz val="10"/>
        <rFont val="Times New Roman"/>
        <family val="1"/>
      </rPr>
      <t>GASBS No. 53</t>
    </r>
    <r>
      <rPr>
        <sz val="10"/>
        <rFont val="Times New Roman"/>
        <family val="1"/>
      </rPr>
      <t xml:space="preserve"> and should be considered when </t>
    </r>
    <r>
      <rPr>
        <b/>
        <u/>
        <sz val="10"/>
        <rFont val="Times New Roman"/>
        <family val="1"/>
      </rPr>
      <t>GASBS No. 53</t>
    </r>
    <r>
      <rPr>
        <sz val="10"/>
        <rFont val="Times New Roman"/>
        <family val="1"/>
      </rPr>
      <t xml:space="preserve"> is referenced below:</t>
    </r>
    <r>
      <rPr>
        <b/>
        <u/>
        <sz val="10"/>
        <rFont val="Times New Roman"/>
        <family val="1"/>
      </rPr>
      <t xml:space="preserve">
</t>
    </r>
    <r>
      <rPr>
        <sz val="10"/>
        <rFont val="Times New Roman"/>
        <family val="1"/>
      </rPr>
      <t>-</t>
    </r>
    <r>
      <rPr>
        <b/>
        <u/>
        <sz val="10"/>
        <rFont val="Times New Roman"/>
        <family val="1"/>
      </rPr>
      <t>GASBS No. 59</t>
    </r>
    <r>
      <rPr>
        <sz val="10"/>
        <rFont val="Times New Roman"/>
        <family val="1"/>
      </rPr>
      <t xml:space="preserve">, </t>
    </r>
    <r>
      <rPr>
        <i/>
        <sz val="10"/>
        <rFont val="Times New Roman"/>
        <family val="1"/>
      </rPr>
      <t xml:space="preserve">Financial Instruments Omnibus,
</t>
    </r>
    <r>
      <rPr>
        <sz val="10"/>
        <rFont val="Times New Roman"/>
        <family val="1"/>
      </rPr>
      <t>-</t>
    </r>
    <r>
      <rPr>
        <b/>
        <u/>
        <sz val="10"/>
        <rFont val="Times New Roman"/>
        <family val="1"/>
      </rPr>
      <t>GASBS No. 64</t>
    </r>
    <r>
      <rPr>
        <sz val="10"/>
        <rFont val="Times New Roman"/>
        <family val="1"/>
      </rPr>
      <t xml:space="preserve">, </t>
    </r>
    <r>
      <rPr>
        <i/>
        <sz val="10"/>
        <rFont val="Times New Roman"/>
        <family val="1"/>
      </rPr>
      <t xml:space="preserve">Derivative Instruments: Application of Hedge Accounting Termination Provisions—an amendment of GASB Statement No. 53,
</t>
    </r>
    <r>
      <rPr>
        <sz val="10"/>
        <rFont val="Times New Roman"/>
        <family val="1"/>
      </rPr>
      <t>-</t>
    </r>
    <r>
      <rPr>
        <b/>
        <u/>
        <sz val="10"/>
        <rFont val="Times New Roman"/>
        <family val="1"/>
      </rPr>
      <t>GASBS No. 72</t>
    </r>
    <r>
      <rPr>
        <sz val="10"/>
        <rFont val="Times New Roman"/>
        <family val="1"/>
      </rPr>
      <t xml:space="preserve">, </t>
    </r>
    <r>
      <rPr>
        <i/>
        <sz val="10"/>
        <rFont val="Times New Roman"/>
        <family val="1"/>
      </rPr>
      <t xml:space="preserve">Fair Value Measurement and Application,
</t>
    </r>
    <r>
      <rPr>
        <sz val="10"/>
        <rFont val="Times New Roman"/>
        <family val="1"/>
      </rPr>
      <t>-</t>
    </r>
    <r>
      <rPr>
        <b/>
        <u/>
        <sz val="10"/>
        <rFont val="Times New Roman"/>
        <family val="1"/>
      </rPr>
      <t>GASBS No. 86</t>
    </r>
    <r>
      <rPr>
        <sz val="10"/>
        <rFont val="Times New Roman"/>
        <family val="1"/>
      </rPr>
      <t xml:space="preserve">, </t>
    </r>
    <r>
      <rPr>
        <i/>
        <sz val="10"/>
        <rFont val="Times New Roman"/>
        <family val="1"/>
      </rPr>
      <t>Certain Debt Extinguishment Issues,</t>
    </r>
    <r>
      <rPr>
        <sz val="10"/>
        <rFont val="Times New Roman"/>
        <family val="1"/>
      </rPr>
      <t xml:space="preserve">
-</t>
    </r>
    <r>
      <rPr>
        <b/>
        <u/>
        <sz val="10"/>
        <rFont val="Times New Roman"/>
        <family val="1"/>
      </rPr>
      <t>GASBS No. 93</t>
    </r>
    <r>
      <rPr>
        <sz val="10"/>
        <rFont val="Times New Roman"/>
        <family val="1"/>
      </rPr>
      <t xml:space="preserve">, </t>
    </r>
    <r>
      <rPr>
        <i/>
        <sz val="10"/>
        <rFont val="Times New Roman"/>
        <family val="1"/>
      </rPr>
      <t>Replacement of Interbank Offered Rates</t>
    </r>
    <r>
      <rPr>
        <sz val="10"/>
        <rFont val="Times New Roman"/>
        <family val="1"/>
      </rPr>
      <t>, and 
-</t>
    </r>
    <r>
      <rPr>
        <b/>
        <u/>
        <sz val="10"/>
        <rFont val="Times New Roman"/>
        <family val="1"/>
      </rPr>
      <t>GASBS No. 99,</t>
    </r>
    <r>
      <rPr>
        <i/>
        <sz val="10"/>
        <rFont val="Times New Roman"/>
        <family val="1"/>
      </rPr>
      <t xml:space="preserve"> Omnibus 2022.</t>
    </r>
  </si>
  <si>
    <r>
      <rPr>
        <b/>
        <u/>
        <sz val="10"/>
        <rFont val="Times New Roman"/>
        <family val="1"/>
      </rPr>
      <t>GASBS No. 94</t>
    </r>
    <r>
      <rPr>
        <sz val="10"/>
        <rFont val="Times New Roman"/>
        <family val="1"/>
      </rPr>
      <t xml:space="preserve"> requires the recognition, measurement and disclosure of information about public-private, public-public partnerships and availability payment arrangements. This statement encompasses service concession arrangements and other similar types of arrangements.  This statement is for entities using the current financial resources measurement focus and the economic resources measurement focus. Therefore, it applies to governmental fund financial statements, the proprietary fund financial statements, Component Units, Higher Education and government wide statements. This statement supersedes </t>
    </r>
    <r>
      <rPr>
        <b/>
        <u/>
        <sz val="10"/>
        <rFont val="Times New Roman"/>
        <family val="1"/>
      </rPr>
      <t>GASBS No. 60</t>
    </r>
    <r>
      <rPr>
        <sz val="10"/>
        <rFont val="Times New Roman"/>
        <family val="1"/>
      </rPr>
      <t xml:space="preserve">, </t>
    </r>
    <r>
      <rPr>
        <i/>
        <sz val="10"/>
        <rFont val="Times New Roman"/>
        <family val="1"/>
      </rPr>
      <t>Accounting and Financial Reporting for Service Concession Arrangements</t>
    </r>
    <r>
      <rPr>
        <sz val="10"/>
        <rFont val="Times New Roman"/>
        <family val="1"/>
      </rPr>
      <t xml:space="preserve">, and amends </t>
    </r>
    <r>
      <rPr>
        <b/>
        <u/>
        <sz val="10"/>
        <rFont val="Times New Roman"/>
        <family val="1"/>
      </rPr>
      <t>GASBS No. 87</t>
    </r>
    <r>
      <rPr>
        <sz val="10"/>
        <rFont val="Times New Roman"/>
        <family val="1"/>
      </rPr>
      <t xml:space="preserve">, </t>
    </r>
    <r>
      <rPr>
        <i/>
        <sz val="10"/>
        <rFont val="Times New Roman"/>
        <family val="1"/>
      </rPr>
      <t>Leases</t>
    </r>
    <r>
      <rPr>
        <sz val="10"/>
        <rFont val="Times New Roman"/>
        <family val="1"/>
      </rPr>
      <t xml:space="preserve">. 
 </t>
    </r>
    <r>
      <rPr>
        <u/>
        <sz val="10"/>
        <rFont val="Times New Roman"/>
        <family val="1"/>
      </rPr>
      <t xml:space="preserve">
</t>
    </r>
    <r>
      <rPr>
        <b/>
        <u/>
        <sz val="10"/>
        <rFont val="Times New Roman"/>
        <family val="1"/>
      </rPr>
      <t>GASBS No. 99</t>
    </r>
    <r>
      <rPr>
        <sz val="10"/>
        <rFont val="Times New Roman"/>
        <family val="1"/>
      </rPr>
      <t xml:space="preserve">, </t>
    </r>
    <r>
      <rPr>
        <i/>
        <sz val="10"/>
        <rFont val="Times New Roman"/>
        <family val="1"/>
      </rPr>
      <t xml:space="preserve">Omnibus 2022, </t>
    </r>
    <r>
      <rPr>
        <sz val="10"/>
        <rFont val="Times New Roman"/>
        <family val="1"/>
      </rPr>
      <t xml:space="preserve">amended </t>
    </r>
    <r>
      <rPr>
        <b/>
        <u/>
        <sz val="10"/>
        <rFont val="Times New Roman"/>
        <family val="1"/>
      </rPr>
      <t>GASBS No. 94</t>
    </r>
    <r>
      <rPr>
        <sz val="10"/>
        <rFont val="Times New Roman"/>
        <family val="1"/>
      </rPr>
      <t xml:space="preserve"> paragraphs 10, 28, 45, and 47.  Refer to GASB's website at </t>
    </r>
    <r>
      <rPr>
        <b/>
        <sz val="10"/>
        <rFont val="Times New Roman"/>
        <family val="1"/>
      </rPr>
      <t>www.gasb.org</t>
    </r>
    <r>
      <rPr>
        <sz val="10"/>
        <rFont val="Times New Roman"/>
        <family val="1"/>
      </rPr>
      <t xml:space="preserve"> for information.
Refer to GASB's website at www.gasb.org for information regarding </t>
    </r>
    <r>
      <rPr>
        <b/>
        <u/>
        <sz val="10"/>
        <rFont val="Times New Roman"/>
        <family val="1"/>
      </rPr>
      <t>GASBS No. 94</t>
    </r>
    <r>
      <rPr>
        <sz val="10"/>
        <rFont val="Times New Roman"/>
        <family val="1"/>
      </rPr>
      <t>.</t>
    </r>
  </si>
  <si>
    <r>
      <t xml:space="preserve">Does the fund have any subscription-based information technology arrangements (SBITAs) in accordance with </t>
    </r>
    <r>
      <rPr>
        <b/>
        <u/>
        <sz val="10"/>
        <color theme="1"/>
        <rFont val="Times New Roman"/>
        <family val="1"/>
      </rPr>
      <t>GASBS No. 96</t>
    </r>
    <r>
      <rPr>
        <sz val="10"/>
        <color theme="1"/>
        <rFont val="Times New Roman"/>
        <family val="1"/>
      </rPr>
      <t xml:space="preserve"> to report as of June 30, 2024?
If yes, please provide an amount and a brief description below.</t>
    </r>
  </si>
  <si>
    <r>
      <rPr>
        <b/>
        <u/>
        <sz val="10"/>
        <rFont val="Times New Roman"/>
        <family val="1"/>
      </rPr>
      <t>GASBS No. 100</t>
    </r>
    <r>
      <rPr>
        <sz val="10"/>
        <rFont val="Times New Roman"/>
        <family val="1"/>
      </rPr>
      <t xml:space="preserve">, </t>
    </r>
    <r>
      <rPr>
        <i/>
        <sz val="10"/>
        <rFont val="Times New Roman"/>
        <family val="1"/>
      </rPr>
      <t>Accounting Changes and Error Corrections</t>
    </r>
    <r>
      <rPr>
        <sz val="10"/>
        <rFont val="Times New Roman"/>
        <family val="1"/>
      </rPr>
      <t xml:space="preserve">. (Note: DOA may request additional information in a separate communication.)
For any restatements shown above, please provide any required disclosures per </t>
    </r>
    <r>
      <rPr>
        <b/>
        <u/>
        <sz val="10"/>
        <rFont val="Times New Roman"/>
        <family val="1"/>
      </rPr>
      <t>GASBS No. 100</t>
    </r>
    <r>
      <rPr>
        <sz val="10"/>
        <rFont val="Times New Roman"/>
        <family val="1"/>
      </rPr>
      <t>.</t>
    </r>
  </si>
  <si>
    <r>
      <t>Does the fund have any of the following that require</t>
    </r>
    <r>
      <rPr>
        <b/>
        <u/>
        <sz val="10"/>
        <rFont val="Times New Roman"/>
        <family val="1"/>
      </rPr>
      <t xml:space="preserve"> GASBS No. 100 </t>
    </r>
    <r>
      <rPr>
        <sz val="10"/>
        <rFont val="Times New Roman"/>
        <family val="1"/>
      </rPr>
      <t xml:space="preserve">disclosures as of June 30, 2024: change in accounting estimate, reclassification from a change in accounting principle, and / or reclassification from an error correction?
If </t>
    </r>
    <r>
      <rPr>
        <b/>
        <sz val="10"/>
        <rFont val="Times New Roman"/>
        <family val="1"/>
      </rPr>
      <t>yes</t>
    </r>
    <r>
      <rPr>
        <sz val="10"/>
        <rFont val="Times New Roman"/>
        <family val="1"/>
      </rPr>
      <t xml:space="preserve">, provide an amount, a brief description, and the applicable </t>
    </r>
    <r>
      <rPr>
        <b/>
        <u/>
        <sz val="10"/>
        <rFont val="Times New Roman"/>
        <family val="1"/>
      </rPr>
      <t>GASBS No. 100</t>
    </r>
    <r>
      <rPr>
        <sz val="10"/>
        <rFont val="Times New Roman"/>
        <family val="1"/>
      </rPr>
      <t xml:space="preserve"> disclosures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</si>
</sst>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_(* #,##0_);_(* \(#,##0\);_(* &quot;-&quot;??_);_(@_)"/>
    <numFmt numFmtId="166" formatCode="General_)"/>
    <numFmt numFmtId="167" formatCode="mmmm\ dd"/>
    <numFmt numFmtId="168" formatCode="mm/dd/yy"/>
    <numFmt numFmtId="169" formatCode="&quot;$&quot;#,##0\ ;\(&quot;$&quot;#,##0\)"/>
    <numFmt numFmtId="170" formatCode="#,##0;\-#,##0"/>
    <numFmt numFmtId="171" formatCode="#,##0.0;\-#,##0.0"/>
    <numFmt numFmtId="172" formatCode="#,##0.00;\-#,##0.00"/>
    <numFmt numFmtId="173" formatCode="#,##0.000;\-#,##0.000"/>
    <numFmt numFmtId="174" formatCode="#,##0.0000;\-#,##0.0000"/>
    <numFmt numFmtId="175" formatCode="#,##0.00000;\-#,##0.00000"/>
    <numFmt numFmtId="176" formatCode="#,##0.000000;\-#,##0.000000"/>
    <numFmt numFmtId="177" formatCode="#,##0.0000000;\-#,##0.0000000"/>
    <numFmt numFmtId="178" formatCode="#,##0.00000000;\-#,##0.00000000"/>
    <numFmt numFmtId="179" formatCode="#,##0.000000000;\-#,##0.000000000"/>
    <numFmt numFmtId="180" formatCode="#,##0.0000000000;\-#,##0.0000000000"/>
    <numFmt numFmtId="181" formatCode="mm/dd/yy;@"/>
    <numFmt numFmtId="182" formatCode="[&lt;=9999999]###\-####;\(###\)\ ###\-####"/>
    <numFmt numFmtId="183" formatCode="mm/dd/yyyy"/>
    <numFmt numFmtId="184" formatCode="0_);\(0\)"/>
    <numFmt numFmtId="185" formatCode="0_);[Red]\(0\)"/>
  </numFmts>
  <fonts count="145">
    <font>
      <sz val="10"/>
      <name val="Arial"/>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7.5"/>
      <color indexed="12"/>
      <name val="Courier"/>
      <family val="3"/>
    </font>
    <font>
      <sz val="10"/>
      <name val="Courier"/>
      <family val="3"/>
    </font>
    <font>
      <sz val="8"/>
      <name val="Times New Roman"/>
      <family val="1"/>
    </font>
    <font>
      <sz val="9"/>
      <name val="Arial"/>
      <family val="2"/>
    </font>
    <font>
      <b/>
      <sz val="8"/>
      <name val="Arial"/>
      <family val="2"/>
    </font>
    <font>
      <sz val="8"/>
      <name val="Arial"/>
      <family val="2"/>
    </font>
    <font>
      <b/>
      <sz val="12"/>
      <name val="Times New Roman"/>
      <family val="1"/>
    </font>
    <font>
      <sz val="12"/>
      <name val="Times New Roman"/>
      <family val="1"/>
    </font>
    <font>
      <sz val="8"/>
      <color indexed="81"/>
      <name val="Tahoma"/>
      <family val="2"/>
    </font>
    <font>
      <b/>
      <sz val="8"/>
      <color indexed="81"/>
      <name val="Tahoma"/>
      <family val="2"/>
    </font>
    <font>
      <b/>
      <sz val="9"/>
      <name val="Times New Roman"/>
      <family val="1"/>
    </font>
    <font>
      <sz val="9"/>
      <name val="Times New Roman"/>
      <family val="1"/>
    </font>
    <font>
      <sz val="10"/>
      <name val="Times New Roman"/>
      <family val="1"/>
    </font>
    <font>
      <sz val="9"/>
      <color indexed="10"/>
      <name val="Times New Roman"/>
      <family val="1"/>
    </font>
    <font>
      <sz val="9"/>
      <color indexed="12"/>
      <name val="Times New Roman"/>
      <family val="1"/>
    </font>
    <font>
      <sz val="9"/>
      <color indexed="48"/>
      <name val="Times New Roman"/>
      <family val="1"/>
    </font>
    <font>
      <sz val="9"/>
      <color indexed="53"/>
      <name val="Times New Roman"/>
      <family val="1"/>
    </font>
    <font>
      <sz val="8"/>
      <name val="Times New Roman"/>
      <family val="1"/>
    </font>
    <font>
      <i/>
      <sz val="8"/>
      <name val="Times New Roman"/>
      <family val="1"/>
    </font>
    <font>
      <b/>
      <sz val="8"/>
      <name val="Times New Roman"/>
      <family val="1"/>
    </font>
    <font>
      <sz val="8"/>
      <color indexed="10"/>
      <name val="Times New Roman"/>
      <family val="1"/>
    </font>
    <font>
      <sz val="10"/>
      <color indexed="8"/>
      <name val="MS Sans Serif"/>
      <family val="2"/>
    </font>
    <font>
      <b/>
      <sz val="10"/>
      <name val="Times New Roman"/>
      <family val="1"/>
    </font>
    <font>
      <sz val="10"/>
      <color indexed="53"/>
      <name val="Times New Roman"/>
      <family val="1"/>
    </font>
    <font>
      <sz val="8"/>
      <color indexed="81"/>
      <name val="Times New Roman"/>
      <family val="1"/>
    </font>
    <font>
      <b/>
      <sz val="8"/>
      <color indexed="81"/>
      <name val="Times New Roman"/>
      <family val="1"/>
    </font>
    <font>
      <b/>
      <sz val="8"/>
      <color indexed="81"/>
      <name val="Arial"/>
      <family val="2"/>
    </font>
    <font>
      <sz val="8"/>
      <color indexed="81"/>
      <name val="Arial"/>
      <family val="2"/>
    </font>
    <font>
      <sz val="10"/>
      <color indexed="10"/>
      <name val="Times New Roman"/>
      <family val="1"/>
    </font>
    <font>
      <b/>
      <sz val="9"/>
      <color indexed="10"/>
      <name val="Times New Roman"/>
      <family val="1"/>
    </font>
    <font>
      <sz val="8"/>
      <name val="Arial"/>
      <family val="2"/>
    </font>
    <font>
      <b/>
      <sz val="10"/>
      <name val="Arial"/>
      <family val="2"/>
    </font>
    <font>
      <b/>
      <sz val="8"/>
      <color indexed="10"/>
      <name val="Times New Roman"/>
      <family val="1"/>
    </font>
    <font>
      <sz val="12"/>
      <color indexed="24"/>
      <name val="Arial"/>
      <family val="2"/>
    </font>
    <font>
      <b/>
      <sz val="14"/>
      <color indexed="24"/>
      <name val="Arial"/>
      <family val="2"/>
    </font>
    <font>
      <b/>
      <sz val="12"/>
      <color indexed="24"/>
      <name val="Arial"/>
      <family val="2"/>
    </font>
    <font>
      <sz val="10"/>
      <color indexed="81"/>
      <name val="Tahoma"/>
      <family val="2"/>
    </font>
    <font>
      <b/>
      <u/>
      <sz val="10"/>
      <name val="Times New Roman"/>
      <family val="1"/>
    </font>
    <font>
      <b/>
      <sz val="10"/>
      <color indexed="81"/>
      <name val="Tahoma"/>
      <family val="2"/>
    </font>
    <font>
      <b/>
      <sz val="9"/>
      <color indexed="81"/>
      <name val="Tahoma"/>
      <family val="2"/>
    </font>
    <font>
      <sz val="9"/>
      <color indexed="81"/>
      <name val="Tahoma"/>
      <family val="2"/>
    </font>
    <font>
      <b/>
      <sz val="11"/>
      <name val="Times New Roman"/>
      <family val="1"/>
    </font>
    <font>
      <sz val="9"/>
      <color indexed="12"/>
      <name val="Arial"/>
      <family val="2"/>
    </font>
    <font>
      <sz val="10"/>
      <color indexed="8"/>
      <name val="Times New Roman"/>
      <family val="1"/>
    </font>
    <font>
      <b/>
      <sz val="9"/>
      <color indexed="81"/>
      <name val="Times New Roman"/>
      <family val="1"/>
    </font>
    <font>
      <sz val="9"/>
      <color indexed="81"/>
      <name val="Times New Roman"/>
      <family val="1"/>
    </font>
    <font>
      <b/>
      <u/>
      <sz val="9"/>
      <color indexed="10"/>
      <name val="Times New Roman"/>
      <family val="1"/>
    </font>
    <font>
      <sz val="10"/>
      <name val="Times New Roman"/>
      <family val="1"/>
    </font>
    <font>
      <sz val="10"/>
      <name val="Arial"/>
      <family val="2"/>
    </font>
    <font>
      <sz val="10"/>
      <color indexed="8"/>
      <name val="Arial"/>
      <family val="2"/>
    </font>
    <font>
      <b/>
      <sz val="10"/>
      <color indexed="12"/>
      <name val="Arial"/>
      <family val="2"/>
    </font>
    <font>
      <b/>
      <sz val="12"/>
      <color indexed="10"/>
      <name val="Times New Roman"/>
      <family val="1"/>
    </font>
    <font>
      <b/>
      <sz val="9"/>
      <color indexed="12"/>
      <name val="Times New Roman"/>
      <family val="1"/>
    </font>
    <font>
      <b/>
      <u/>
      <sz val="9"/>
      <color indexed="12"/>
      <name val="Times New Roman"/>
      <family val="1"/>
    </font>
    <font>
      <b/>
      <u/>
      <sz val="8"/>
      <color indexed="12"/>
      <name val="Times New Roman"/>
      <family val="1"/>
    </font>
    <font>
      <b/>
      <u/>
      <sz val="10"/>
      <color indexed="12"/>
      <name val="Arial"/>
      <family val="2"/>
    </font>
    <font>
      <b/>
      <sz val="10"/>
      <color indexed="10"/>
      <name val="Times New Roman"/>
      <family val="1"/>
    </font>
    <font>
      <i/>
      <sz val="10"/>
      <name val="Times New Roman"/>
      <family val="1"/>
    </font>
    <font>
      <sz val="10"/>
      <name val="Arial"/>
      <family val="2"/>
    </font>
    <font>
      <i/>
      <u/>
      <sz val="10"/>
      <name val="Times New Roman"/>
      <family val="1"/>
    </font>
    <font>
      <sz val="10"/>
      <color indexed="81"/>
      <name val="Times New Roman"/>
      <family val="1"/>
    </font>
    <font>
      <b/>
      <sz val="10"/>
      <color indexed="81"/>
      <name val="Times New Roman"/>
      <family val="1"/>
    </font>
    <font>
      <sz val="10"/>
      <color indexed="22"/>
      <name val="Tahoma"/>
      <family val="2"/>
    </font>
    <font>
      <b/>
      <u/>
      <sz val="10"/>
      <color indexed="81"/>
      <name val="Tahoma"/>
      <family val="2"/>
    </font>
    <font>
      <b/>
      <u/>
      <sz val="10"/>
      <color indexed="10"/>
      <name val="Times New Roman"/>
      <family val="1"/>
    </font>
    <font>
      <u/>
      <sz val="10"/>
      <name val="Times New Roman"/>
      <family val="1"/>
    </font>
    <font>
      <b/>
      <sz val="8"/>
      <color indexed="8"/>
      <name val="Times New Roman"/>
      <family val="1"/>
    </font>
    <font>
      <b/>
      <u/>
      <sz val="10"/>
      <color indexed="12"/>
      <name val="Times New Roman"/>
      <family val="1"/>
    </font>
    <font>
      <b/>
      <u/>
      <sz val="7.5"/>
      <color indexed="12"/>
      <name val="Times New Roman"/>
      <family val="1"/>
    </font>
    <font>
      <sz val="10"/>
      <color rgb="FFFF0000"/>
      <name val="Arial"/>
      <family val="2"/>
    </font>
    <font>
      <sz val="9"/>
      <color rgb="FFFF0000"/>
      <name val="Times New Roman"/>
      <family val="1"/>
    </font>
    <font>
      <sz val="11"/>
      <name val="Times New Roman"/>
      <family val="1"/>
    </font>
    <font>
      <b/>
      <sz val="10"/>
      <color rgb="FFFF0000"/>
      <name val="Times New Roman"/>
      <family val="1"/>
    </font>
    <font>
      <b/>
      <sz val="9"/>
      <color rgb="FFFF0000"/>
      <name val="Times New Roman"/>
      <family val="1"/>
    </font>
    <font>
      <u/>
      <sz val="9"/>
      <name val="Arial"/>
      <family val="2"/>
    </font>
    <font>
      <b/>
      <sz val="10"/>
      <name val="Arial Unicode MS"/>
      <family val="2"/>
    </font>
    <font>
      <sz val="11"/>
      <color theme="1"/>
      <name val="Times New Roman"/>
      <family val="2"/>
    </font>
    <font>
      <sz val="10"/>
      <name val="Arial Unicode MS"/>
      <family val="2"/>
    </font>
    <font>
      <strike/>
      <sz val="10"/>
      <name val="Times New Roman"/>
      <family val="1"/>
    </font>
    <font>
      <b/>
      <strike/>
      <sz val="10"/>
      <name val="Times New Roman"/>
      <family val="1"/>
    </font>
    <font>
      <b/>
      <strike/>
      <u/>
      <sz val="10"/>
      <name val="Times New Roman"/>
      <family val="1"/>
    </font>
    <font>
      <strike/>
      <sz val="10"/>
      <name val="Arial"/>
      <family val="2"/>
    </font>
    <font>
      <i/>
      <strike/>
      <sz val="10"/>
      <name val="Times New Roman"/>
      <family val="1"/>
    </font>
    <font>
      <strike/>
      <u/>
      <sz val="10"/>
      <name val="Times New Roman"/>
      <family val="1"/>
    </font>
    <font>
      <strike/>
      <sz val="9"/>
      <name val="Arial"/>
      <family val="2"/>
    </font>
    <font>
      <strike/>
      <sz val="12"/>
      <name val="Times New Roman"/>
      <family val="1"/>
    </font>
    <font>
      <strike/>
      <sz val="10"/>
      <color theme="1"/>
      <name val="Times New Roman"/>
      <family val="1"/>
    </font>
    <font>
      <b/>
      <strike/>
      <sz val="10"/>
      <color theme="1"/>
      <name val="Times New Roman"/>
      <family val="1"/>
    </font>
    <font>
      <b/>
      <strike/>
      <u/>
      <sz val="10"/>
      <color theme="1"/>
      <name val="Times New Roman"/>
      <family val="1"/>
    </font>
    <font>
      <strike/>
      <sz val="11"/>
      <name val="Times New Roman"/>
      <family val="1"/>
    </font>
    <font>
      <strike/>
      <sz val="9"/>
      <name val="Times New Roman"/>
      <family val="1"/>
    </font>
    <font>
      <strike/>
      <sz val="9"/>
      <color indexed="12"/>
      <name val="Times New Roman"/>
      <family val="1"/>
    </font>
    <font>
      <sz val="11"/>
      <color rgb="FF000000"/>
      <name val="Calibri"/>
      <family val="2"/>
      <scheme val="minor"/>
    </font>
    <font>
      <sz val="11"/>
      <color theme="1"/>
      <name val="Times New Roman"/>
      <family val="1"/>
    </font>
    <font>
      <b/>
      <sz val="11"/>
      <color rgb="FFFF0000"/>
      <name val="Times New Roman"/>
      <family val="1"/>
    </font>
    <font>
      <b/>
      <sz val="11"/>
      <color theme="1"/>
      <name val="Times New Roman"/>
      <family val="1"/>
    </font>
    <font>
      <b/>
      <u/>
      <sz val="11"/>
      <name val="Times New Roman"/>
      <family val="1"/>
    </font>
    <font>
      <b/>
      <u/>
      <sz val="11"/>
      <color indexed="10"/>
      <name val="Times New Roman"/>
      <family val="1"/>
    </font>
    <font>
      <b/>
      <sz val="11"/>
      <color indexed="10"/>
      <name val="Times New Roman"/>
      <family val="1"/>
    </font>
    <font>
      <sz val="11"/>
      <color rgb="FFFF0000"/>
      <name val="Times New Roman"/>
      <family val="1"/>
    </font>
    <font>
      <u/>
      <sz val="9"/>
      <color indexed="81"/>
      <name val="Tahoma"/>
      <family val="2"/>
    </font>
    <font>
      <sz val="9"/>
      <color theme="1"/>
      <name val="Times New Roman"/>
      <family val="1"/>
    </font>
    <font>
      <b/>
      <u/>
      <sz val="9"/>
      <color indexed="81"/>
      <name val="Tahoma"/>
      <family val="2"/>
    </font>
    <font>
      <strike/>
      <sz val="9"/>
      <color indexed="53"/>
      <name val="Times New Roman"/>
      <family val="1"/>
    </font>
    <font>
      <b/>
      <strike/>
      <sz val="9"/>
      <color indexed="10"/>
      <name val="Times New Roman"/>
      <family val="1"/>
    </font>
    <font>
      <strike/>
      <sz val="8"/>
      <color indexed="12"/>
      <name val="Times New Roman"/>
      <family val="1"/>
    </font>
    <font>
      <strike/>
      <sz val="9"/>
      <color indexed="12"/>
      <name val="Arial"/>
      <family val="2"/>
    </font>
    <font>
      <b/>
      <sz val="9"/>
      <color theme="1"/>
      <name val="Times New Roman"/>
      <family val="1"/>
    </font>
    <font>
      <b/>
      <u/>
      <sz val="12"/>
      <color rgb="FF0000FF"/>
      <name val="Arial"/>
      <family val="2"/>
    </font>
    <font>
      <b/>
      <sz val="9"/>
      <color rgb="FF0000FF"/>
      <name val="Times New Roman"/>
      <family val="1"/>
    </font>
    <font>
      <b/>
      <sz val="10"/>
      <color theme="1"/>
      <name val="Arial"/>
      <family val="2"/>
    </font>
    <font>
      <sz val="12"/>
      <color rgb="FF0000FF"/>
      <name val="Arial"/>
      <family val="2"/>
    </font>
    <font>
      <b/>
      <sz val="12"/>
      <color rgb="FF0000FF"/>
      <name val="Arial"/>
      <family val="2"/>
    </font>
    <font>
      <b/>
      <sz val="12"/>
      <name val="Arial"/>
      <family val="2"/>
    </font>
    <font>
      <sz val="12"/>
      <name val="Arial"/>
      <family val="2"/>
    </font>
    <font>
      <sz val="12"/>
      <color indexed="48"/>
      <name val="Arial"/>
      <family val="2"/>
    </font>
    <font>
      <sz val="12"/>
      <color indexed="12"/>
      <name val="Arial"/>
      <family val="2"/>
    </font>
    <font>
      <b/>
      <sz val="12"/>
      <color indexed="12"/>
      <name val="Arial"/>
      <family val="2"/>
    </font>
    <font>
      <sz val="12"/>
      <color theme="1"/>
      <name val="Arial"/>
      <family val="2"/>
    </font>
    <font>
      <strike/>
      <sz val="12"/>
      <color indexed="12"/>
      <name val="Arial"/>
      <family val="2"/>
    </font>
    <font>
      <sz val="12"/>
      <color indexed="10"/>
      <name val="Arial"/>
      <family val="2"/>
    </font>
    <font>
      <b/>
      <i/>
      <sz val="10"/>
      <color rgb="FFFF0000"/>
      <name val="Arial"/>
      <family val="2"/>
    </font>
    <font>
      <sz val="8"/>
      <color rgb="FFFF0000"/>
      <name val="Times New Roman"/>
      <family val="1"/>
    </font>
    <font>
      <b/>
      <u/>
      <sz val="8"/>
      <name val="Times New Roman"/>
      <family val="1"/>
    </font>
    <font>
      <sz val="8"/>
      <color rgb="FFFF0000"/>
      <name val="Arial"/>
      <family val="2"/>
    </font>
    <font>
      <sz val="10"/>
      <color theme="1"/>
      <name val="Times New Roman"/>
      <family val="1"/>
    </font>
    <font>
      <b/>
      <u/>
      <sz val="10"/>
      <color theme="1"/>
      <name val="Times New Roman"/>
      <family val="1"/>
    </font>
    <font>
      <b/>
      <sz val="10"/>
      <color theme="1"/>
      <name val="Times New Roman"/>
      <family val="1"/>
    </font>
    <font>
      <u/>
      <sz val="7.5"/>
      <color indexed="12"/>
      <name val="Times New Roman"/>
      <family val="1"/>
    </font>
    <font>
      <sz val="10"/>
      <color rgb="FF0000FF"/>
      <name val="Times New Roman"/>
      <family val="1"/>
    </font>
    <font>
      <i/>
      <sz val="10"/>
      <color theme="1"/>
      <name val="Times New Roman"/>
      <family val="1"/>
    </font>
    <font>
      <sz val="10"/>
      <color rgb="FF000000"/>
      <name val="Times New Roman"/>
      <family val="1"/>
    </font>
    <font>
      <b/>
      <u/>
      <sz val="10"/>
      <color rgb="FF000000"/>
      <name val="Times New Roman"/>
      <family val="1"/>
    </font>
    <font>
      <sz val="12"/>
      <color rgb="FFFF0000"/>
      <name val="Arial"/>
      <family val="2"/>
    </font>
    <font>
      <sz val="12"/>
      <color rgb="FFFF0000"/>
      <name val="Times New Roman"/>
      <family val="2"/>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34">
    <border>
      <left/>
      <right/>
      <top/>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70">
    <xf numFmtId="0" fontId="0" fillId="0" borderId="0"/>
    <xf numFmtId="43" fontId="9" fillId="0" borderId="0" applyFont="0" applyFill="0" applyBorder="0" applyAlignment="0" applyProtection="0"/>
    <xf numFmtId="3" fontId="43" fillId="0" borderId="0" applyFont="0" applyFill="0" applyBorder="0" applyAlignment="0" applyProtection="0"/>
    <xf numFmtId="169" fontId="43" fillId="0" borderId="0" applyFont="0" applyFill="0" applyBorder="0" applyAlignment="0" applyProtection="0"/>
    <xf numFmtId="0" fontId="43" fillId="0" borderId="0" applyFont="0" applyFill="0" applyBorder="0" applyAlignment="0" applyProtection="0"/>
    <xf numFmtId="2" fontId="43"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alignment vertical="top"/>
      <protection locked="0"/>
    </xf>
    <xf numFmtId="0" fontId="9" fillId="0" borderId="0"/>
    <xf numFmtId="37" fontId="11" fillId="0" borderId="0"/>
    <xf numFmtId="0" fontId="9" fillId="0" borderId="0"/>
    <xf numFmtId="0" fontId="9" fillId="0" borderId="0"/>
    <xf numFmtId="0" fontId="9" fillId="0" borderId="0"/>
    <xf numFmtId="0" fontId="57" fillId="0" borderId="0"/>
    <xf numFmtId="0" fontId="12" fillId="0" borderId="0"/>
    <xf numFmtId="0" fontId="12" fillId="0" borderId="0"/>
    <xf numFmtId="0" fontId="59" fillId="0" borderId="0"/>
    <xf numFmtId="166" fontId="11" fillId="0" borderId="0"/>
    <xf numFmtId="0" fontId="31" fillId="0" borderId="0"/>
    <xf numFmtId="170" fontId="9" fillId="0" borderId="0"/>
    <xf numFmtId="180" fontId="9" fillId="0" borderId="0"/>
    <xf numFmtId="171" fontId="9" fillId="0" borderId="0"/>
    <xf numFmtId="172" fontId="9" fillId="0" borderId="0"/>
    <xf numFmtId="173" fontId="9" fillId="0" borderId="0"/>
    <xf numFmtId="174" fontId="9" fillId="0" borderId="0"/>
    <xf numFmtId="175" fontId="9" fillId="0" borderId="0"/>
    <xf numFmtId="176" fontId="9" fillId="0" borderId="0"/>
    <xf numFmtId="177" fontId="9" fillId="0" borderId="0"/>
    <xf numFmtId="178" fontId="9" fillId="0" borderId="0"/>
    <xf numFmtId="179" fontId="9" fillId="0" borderId="0"/>
    <xf numFmtId="9" fontId="9" fillId="0" borderId="0" applyFont="0" applyFill="0" applyBorder="0" applyAlignment="0" applyProtection="0"/>
    <xf numFmtId="49" fontId="9" fillId="0" borderId="0"/>
    <xf numFmtId="0" fontId="43" fillId="0" borderId="1" applyNumberFormat="0" applyFont="0" applyFill="0" applyAlignment="0" applyProtection="0"/>
    <xf numFmtId="0" fontId="22" fillId="0" borderId="0"/>
    <xf numFmtId="0" fontId="9" fillId="0" borderId="0"/>
    <xf numFmtId="0" fontId="9" fillId="0" borderId="0"/>
    <xf numFmtId="0" fontId="8" fillId="0" borderId="0"/>
    <xf numFmtId="43" fontId="9"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9" fontId="9" fillId="0" borderId="0" applyFont="0" applyFill="0" applyBorder="0" applyAlignment="0" applyProtection="0"/>
    <xf numFmtId="0" fontId="43" fillId="0" borderId="1" applyNumberFormat="0" applyFont="0" applyFill="0" applyAlignment="0" applyProtection="0"/>
    <xf numFmtId="0" fontId="9" fillId="0" borderId="0"/>
    <xf numFmtId="0" fontId="9" fillId="0" borderId="0"/>
    <xf numFmtId="0" fontId="7" fillId="0" borderId="0"/>
    <xf numFmtId="0" fontId="6" fillId="0" borderId="0"/>
    <xf numFmtId="0" fontId="5" fillId="0" borderId="0"/>
    <xf numFmtId="43" fontId="5" fillId="0" borderId="0" applyFont="0" applyFill="0" applyBorder="0" applyAlignment="0" applyProtection="0"/>
    <xf numFmtId="0" fontId="86" fillId="0" borderId="0"/>
    <xf numFmtId="0" fontId="22" fillId="0" borderId="0"/>
    <xf numFmtId="43" fontId="15" fillId="0" borderId="0" applyFont="0" applyFill="0" applyBorder="0" applyAlignment="0" applyProtection="0"/>
    <xf numFmtId="43" fontId="9"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15" fillId="0" borderId="0"/>
    <xf numFmtId="0" fontId="15" fillId="0" borderId="0"/>
    <xf numFmtId="0" fontId="9" fillId="0" borderId="0"/>
    <xf numFmtId="9" fontId="15" fillId="0" borderId="0" applyFont="0" applyFill="0" applyBorder="0" applyAlignment="0" applyProtection="0"/>
    <xf numFmtId="0" fontId="43" fillId="0" borderId="0"/>
    <xf numFmtId="0" fontId="43" fillId="0" borderId="1" applyNumberFormat="0" applyFont="0" applyFill="0" applyAlignment="0" applyProtection="0"/>
    <xf numFmtId="0" fontId="87" fillId="0" borderId="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02" fillId="0" borderId="0"/>
    <xf numFmtId="0" fontId="102" fillId="0" borderId="0"/>
    <xf numFmtId="0" fontId="102" fillId="0" borderId="0"/>
    <xf numFmtId="44" fontId="9"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9" fillId="0" borderId="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xf numFmtId="180" fontId="9" fillId="0" borderId="0"/>
    <xf numFmtId="171" fontId="9" fillId="0" borderId="0"/>
    <xf numFmtId="172" fontId="9" fillId="0" borderId="0"/>
    <xf numFmtId="173" fontId="9" fillId="0" borderId="0"/>
    <xf numFmtId="174" fontId="9" fillId="0" borderId="0"/>
    <xf numFmtId="175" fontId="9" fillId="0" borderId="0"/>
    <xf numFmtId="176" fontId="9" fillId="0" borderId="0"/>
    <xf numFmtId="177" fontId="9" fillId="0" borderId="0"/>
    <xf numFmtId="178" fontId="9" fillId="0" borderId="0"/>
    <xf numFmtId="179" fontId="9" fillId="0" borderId="0"/>
    <xf numFmtId="9" fontId="9" fillId="0" borderId="0" applyFont="0" applyFill="0" applyBorder="0" applyAlignment="0" applyProtection="0"/>
    <xf numFmtId="49" fontId="9" fillId="0" borderId="0"/>
    <xf numFmtId="43" fontId="3"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0" fontId="3" fillId="0" borderId="0"/>
    <xf numFmtId="0" fontId="15" fillId="0" borderId="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43" fontId="1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0" fontId="9" fillId="0" borderId="0"/>
    <xf numFmtId="0" fontId="3" fillId="0" borderId="0"/>
    <xf numFmtId="0" fontId="3" fillId="0" borderId="0"/>
    <xf numFmtId="0" fontId="3" fillId="0" borderId="0"/>
    <xf numFmtId="0" fontId="3" fillId="0" borderId="0"/>
    <xf numFmtId="9" fontId="15" fillId="0" borderId="0" applyFont="0" applyFill="0" applyBorder="0" applyAlignment="0" applyProtection="0"/>
    <xf numFmtId="0" fontId="3" fillId="0" borderId="0"/>
    <xf numFmtId="0" fontId="4" fillId="0" borderId="0"/>
    <xf numFmtId="0" fontId="3"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242">
    <xf numFmtId="0" fontId="0" fillId="0" borderId="0" xfId="0"/>
    <xf numFmtId="0" fontId="27" fillId="0" borderId="0" xfId="0" applyFont="1"/>
    <xf numFmtId="0" fontId="20" fillId="0" borderId="0" xfId="0" applyFont="1"/>
    <xf numFmtId="0" fontId="21" fillId="0" borderId="0" xfId="0" applyFont="1"/>
    <xf numFmtId="0" fontId="20" fillId="0" borderId="0" xfId="0" applyFont="1" applyAlignment="1">
      <alignment horizontal="left"/>
    </xf>
    <xf numFmtId="164" fontId="20" fillId="0" borderId="0" xfId="0" applyNumberFormat="1" applyFont="1" applyAlignment="1">
      <alignment horizontal="left"/>
    </xf>
    <xf numFmtId="0" fontId="24" fillId="0" borderId="0" xfId="0" applyFont="1"/>
    <xf numFmtId="165" fontId="21" fillId="0" borderId="0" xfId="1" applyNumberFormat="1" applyFont="1" applyBorder="1" applyProtection="1"/>
    <xf numFmtId="165" fontId="21" fillId="0" borderId="0" xfId="1" applyNumberFormat="1" applyFont="1" applyProtection="1"/>
    <xf numFmtId="0" fontId="22" fillId="0" borderId="0" xfId="0" applyFont="1"/>
    <xf numFmtId="165" fontId="27" fillId="2" borderId="3" xfId="1" applyNumberFormat="1" applyFont="1" applyFill="1" applyBorder="1" applyProtection="1">
      <protection locked="0"/>
    </xf>
    <xf numFmtId="0" fontId="22" fillId="0" borderId="0" xfId="0" applyFont="1" applyAlignment="1">
      <alignment horizontal="left" vertical="top" wrapText="1"/>
    </xf>
    <xf numFmtId="0" fontId="27" fillId="0" borderId="0" xfId="15" applyFont="1"/>
    <xf numFmtId="0" fontId="27" fillId="0" borderId="0" xfId="15" applyFont="1" applyAlignment="1">
      <alignment horizontal="left" vertical="top" wrapText="1"/>
    </xf>
    <xf numFmtId="0" fontId="21" fillId="0" borderId="0" xfId="0" applyFont="1" applyAlignment="1">
      <alignment horizontal="left" vertical="top"/>
    </xf>
    <xf numFmtId="165" fontId="27" fillId="0" borderId="0" xfId="1" applyNumberFormat="1" applyFont="1" applyFill="1" applyBorder="1" applyProtection="1"/>
    <xf numFmtId="0" fontId="27" fillId="0" borderId="0" xfId="15" applyFont="1" applyAlignment="1">
      <alignment vertical="center"/>
    </xf>
    <xf numFmtId="0" fontId="29" fillId="0" borderId="0" xfId="15" applyFont="1" applyAlignment="1">
      <alignment horizontal="centerContinuous" vertical="center"/>
    </xf>
    <xf numFmtId="165" fontId="29" fillId="0" borderId="0" xfId="1" applyNumberFormat="1" applyFont="1" applyFill="1" applyAlignment="1" applyProtection="1">
      <alignment horizontal="centerContinuous" vertical="center"/>
    </xf>
    <xf numFmtId="164" fontId="20" fillId="0" borderId="6" xfId="0" applyNumberFormat="1" applyFont="1" applyBorder="1" applyAlignment="1">
      <alignment horizontal="left"/>
    </xf>
    <xf numFmtId="0" fontId="21" fillId="0" borderId="6" xfId="0" applyFont="1" applyBorder="1"/>
    <xf numFmtId="0" fontId="27" fillId="0" borderId="6" xfId="15" applyFont="1" applyBorder="1" applyAlignment="1">
      <alignment vertical="center"/>
    </xf>
    <xf numFmtId="0" fontId="29" fillId="0" borderId="6" xfId="15" applyFont="1" applyBorder="1" applyAlignment="1">
      <alignment horizontal="centerContinuous" vertical="center"/>
    </xf>
    <xf numFmtId="164" fontId="21" fillId="0" borderId="0" xfId="0" applyNumberFormat="1" applyFont="1" applyAlignment="1">
      <alignment horizontal="left"/>
    </xf>
    <xf numFmtId="0" fontId="29" fillId="0" borderId="0" xfId="0" applyFont="1"/>
    <xf numFmtId="0" fontId="33" fillId="0" borderId="0" xfId="0" applyFont="1" applyAlignment="1">
      <alignment horizontal="center"/>
    </xf>
    <xf numFmtId="0" fontId="32" fillId="0" borderId="0" xfId="0" applyFont="1" applyAlignment="1">
      <alignment horizontal="center" wrapText="1"/>
    </xf>
    <xf numFmtId="165" fontId="22" fillId="0" borderId="3" xfId="1" applyNumberFormat="1" applyFont="1" applyFill="1" applyBorder="1" applyProtection="1"/>
    <xf numFmtId="165" fontId="22" fillId="0" borderId="8" xfId="1" applyNumberFormat="1" applyFont="1" applyBorder="1" applyProtection="1"/>
    <xf numFmtId="0" fontId="29" fillId="0" borderId="6" xfId="0" applyFont="1" applyBorder="1"/>
    <xf numFmtId="0" fontId="22" fillId="0" borderId="6" xfId="0" applyFont="1" applyBorder="1"/>
    <xf numFmtId="0" fontId="27" fillId="0" borderId="6" xfId="0" applyFont="1" applyBorder="1" applyAlignment="1">
      <alignment horizontal="center"/>
    </xf>
    <xf numFmtId="41" fontId="27" fillId="0" borderId="6" xfId="0" applyNumberFormat="1" applyFont="1" applyBorder="1" applyAlignment="1">
      <alignment horizontal="center"/>
    </xf>
    <xf numFmtId="0" fontId="28" fillId="0" borderId="0" xfId="0" applyFont="1" applyAlignment="1">
      <alignment horizontal="center"/>
    </xf>
    <xf numFmtId="41" fontId="27" fillId="0" borderId="0" xfId="0" applyNumberFormat="1" applyFont="1" applyAlignment="1">
      <alignment horizontal="centerContinuous"/>
    </xf>
    <xf numFmtId="0" fontId="27" fillId="0" borderId="0" xfId="0" quotePrefix="1" applyFont="1" applyAlignment="1">
      <alignment horizontal="right"/>
    </xf>
    <xf numFmtId="165" fontId="22" fillId="0" borderId="0" xfId="1" applyNumberFormat="1" applyFont="1" applyProtection="1"/>
    <xf numFmtId="0" fontId="27" fillId="0" borderId="0" xfId="0" applyFont="1" applyAlignment="1">
      <alignment horizontal="right"/>
    </xf>
    <xf numFmtId="165" fontId="22" fillId="0" borderId="0" xfId="1" applyNumberFormat="1" applyFont="1" applyBorder="1" applyProtection="1"/>
    <xf numFmtId="0" fontId="27" fillId="0" borderId="0" xfId="0" applyFont="1" applyAlignment="1">
      <alignment horizontal="right" wrapText="1"/>
    </xf>
    <xf numFmtId="165" fontId="22" fillId="0" borderId="6" xfId="1" applyNumberFormat="1" applyFont="1" applyBorder="1" applyProtection="1"/>
    <xf numFmtId="165" fontId="27" fillId="0" borderId="9" xfId="1" applyNumberFormat="1" applyFont="1" applyFill="1" applyBorder="1" applyProtection="1"/>
    <xf numFmtId="165" fontId="27" fillId="0" borderId="10" xfId="1" applyNumberFormat="1" applyFont="1" applyFill="1" applyBorder="1" applyProtection="1"/>
    <xf numFmtId="165" fontId="22" fillId="2" borderId="3" xfId="1" applyNumberFormat="1" applyFont="1" applyFill="1" applyBorder="1" applyProtection="1">
      <protection locked="0"/>
    </xf>
    <xf numFmtId="0" fontId="32" fillId="0" borderId="0" xfId="0" applyFont="1"/>
    <xf numFmtId="165" fontId="41" fillId="0" borderId="6" xfId="1" applyNumberFormat="1" applyFont="1" applyBorder="1" applyAlignment="1">
      <alignment horizontal="center" wrapText="1"/>
    </xf>
    <xf numFmtId="165" fontId="9" fillId="0" borderId="0" xfId="1" applyNumberFormat="1" applyAlignment="1">
      <alignment horizontal="center"/>
    </xf>
    <xf numFmtId="165" fontId="9" fillId="0" borderId="0" xfId="1" applyNumberFormat="1"/>
    <xf numFmtId="165" fontId="9" fillId="0" borderId="0" xfId="1" applyNumberFormat="1" applyFill="1"/>
    <xf numFmtId="165" fontId="9" fillId="0" borderId="0" xfId="1" applyNumberFormat="1" applyFont="1" applyFill="1"/>
    <xf numFmtId="0" fontId="29" fillId="0" borderId="13" xfId="0" applyFont="1" applyBorder="1"/>
    <xf numFmtId="0" fontId="29" fillId="0" borderId="3" xfId="0" applyFont="1" applyBorder="1" applyAlignment="1">
      <alignment horizontal="left" wrapText="1"/>
    </xf>
    <xf numFmtId="0" fontId="20" fillId="0" borderId="3" xfId="0" applyFont="1" applyBorder="1" applyAlignment="1">
      <alignment horizontal="left"/>
    </xf>
    <xf numFmtId="0" fontId="20" fillId="0" borderId="3" xfId="0" applyFont="1" applyBorder="1"/>
    <xf numFmtId="0" fontId="29" fillId="0" borderId="0" xfId="11" applyFont="1"/>
    <xf numFmtId="0" fontId="13" fillId="0" borderId="0" xfId="0" applyFont="1" applyAlignment="1">
      <alignment wrapText="1"/>
    </xf>
    <xf numFmtId="0" fontId="14" fillId="0" borderId="0" xfId="11" applyFont="1"/>
    <xf numFmtId="164" fontId="32" fillId="0" borderId="0" xfId="11" applyNumberFormat="1" applyFont="1" applyAlignment="1">
      <alignment horizontal="left" vertical="top"/>
    </xf>
    <xf numFmtId="0" fontId="32" fillId="0" borderId="0" xfId="11" applyFont="1" applyAlignment="1">
      <alignment horizontal="center" wrapText="1"/>
    </xf>
    <xf numFmtId="165" fontId="9" fillId="0" borderId="0" xfId="1" applyNumberFormat="1" applyFont="1" applyAlignment="1">
      <alignment horizontal="center" wrapText="1"/>
    </xf>
    <xf numFmtId="0" fontId="22" fillId="0" borderId="0" xfId="9" applyFont="1"/>
    <xf numFmtId="0" fontId="66" fillId="0" borderId="0" xfId="0" applyFont="1" applyAlignment="1">
      <alignment horizontal="right"/>
    </xf>
    <xf numFmtId="165" fontId="66" fillId="0" borderId="0" xfId="0" applyNumberFormat="1" applyFont="1"/>
    <xf numFmtId="0" fontId="66" fillId="0" borderId="0" xfId="0" applyFont="1"/>
    <xf numFmtId="0" fontId="22" fillId="0" borderId="0" xfId="15" applyFont="1"/>
    <xf numFmtId="0" fontId="32" fillId="0" borderId="3" xfId="0" applyFont="1" applyBorder="1" applyAlignment="1">
      <alignment horizontal="left"/>
    </xf>
    <xf numFmtId="165" fontId="68" fillId="0" borderId="0" xfId="1" applyNumberFormat="1" applyFont="1" applyFill="1"/>
    <xf numFmtId="0" fontId="22" fillId="0" borderId="0" xfId="0" applyFont="1" applyAlignment="1">
      <alignment vertical="top"/>
    </xf>
    <xf numFmtId="0" fontId="22" fillId="0" borderId="0" xfId="0" applyFont="1" applyAlignment="1">
      <alignment vertical="top" wrapText="1"/>
    </xf>
    <xf numFmtId="42" fontId="32" fillId="0" borderId="11" xfId="0" applyNumberFormat="1" applyFont="1" applyBorder="1" applyAlignment="1">
      <alignment horizontal="left" vertical="center" wrapText="1"/>
    </xf>
    <xf numFmtId="42" fontId="32" fillId="0" borderId="3" xfId="0" applyNumberFormat="1" applyFont="1" applyBorder="1" applyAlignment="1">
      <alignment horizontal="left" vertical="center" wrapText="1"/>
    </xf>
    <xf numFmtId="0" fontId="22" fillId="2" borderId="3" xfId="0" applyFont="1" applyFill="1" applyBorder="1" applyAlignment="1" applyProtection="1">
      <alignment horizontal="center" vertical="center"/>
      <protection locked="0"/>
    </xf>
    <xf numFmtId="0" fontId="22" fillId="0" borderId="3" xfId="0" applyFont="1" applyBorder="1" applyAlignment="1">
      <alignment vertical="top" wrapText="1"/>
    </xf>
    <xf numFmtId="0" fontId="22" fillId="0" borderId="0" xfId="0" applyFont="1" applyAlignment="1">
      <alignment horizontal="center" vertical="top"/>
    </xf>
    <xf numFmtId="0" fontId="47" fillId="0" borderId="3" xfId="0" applyFont="1" applyBorder="1" applyAlignment="1">
      <alignment vertical="top" wrapText="1"/>
    </xf>
    <xf numFmtId="0" fontId="22" fillId="0" borderId="4" xfId="0" applyFont="1" applyBorder="1" applyAlignment="1">
      <alignment vertical="top" wrapText="1"/>
    </xf>
    <xf numFmtId="0" fontId="22" fillId="0" borderId="4" xfId="0" applyFont="1" applyBorder="1" applyAlignment="1">
      <alignment horizontal="left" wrapText="1"/>
    </xf>
    <xf numFmtId="3" fontId="22" fillId="0" borderId="0" xfId="0" applyNumberFormat="1" applyFont="1" applyAlignment="1">
      <alignment vertical="top" wrapText="1"/>
    </xf>
    <xf numFmtId="0" fontId="22" fillId="0" borderId="3" xfId="0" applyFont="1" applyBorder="1" applyAlignment="1">
      <alignment horizontal="center" wrapText="1"/>
    </xf>
    <xf numFmtId="41" fontId="22" fillId="2" borderId="3" xfId="0" applyNumberFormat="1" applyFont="1" applyFill="1" applyBorder="1" applyAlignment="1" applyProtection="1">
      <alignment wrapText="1"/>
      <protection locked="0"/>
    </xf>
    <xf numFmtId="0" fontId="32" fillId="0" borderId="3" xfId="0" applyFont="1" applyBorder="1" applyAlignment="1">
      <alignment vertical="top" wrapText="1"/>
    </xf>
    <xf numFmtId="0" fontId="22" fillId="0" borderId="0" xfId="17" applyFont="1" applyAlignment="1">
      <alignment vertical="top" wrapText="1"/>
    </xf>
    <xf numFmtId="165" fontId="29" fillId="0" borderId="6" xfId="1" applyNumberFormat="1" applyFont="1" applyFill="1" applyBorder="1" applyAlignment="1" applyProtection="1">
      <alignment horizontal="centerContinuous" vertical="center"/>
    </xf>
    <xf numFmtId="165" fontId="42" fillId="0" borderId="0" xfId="1" applyNumberFormat="1" applyFont="1" applyFill="1" applyBorder="1" applyProtection="1"/>
    <xf numFmtId="0" fontId="12" fillId="0" borderId="0" xfId="0" applyFont="1" applyAlignment="1">
      <alignment horizontal="right"/>
    </xf>
    <xf numFmtId="0" fontId="22" fillId="0" borderId="3" xfId="13" applyFont="1" applyBorder="1" applyAlignment="1">
      <alignment horizontal="center" vertical="top" wrapText="1"/>
    </xf>
    <xf numFmtId="0" fontId="22" fillId="2" borderId="3" xfId="9" applyFont="1" applyFill="1" applyBorder="1" applyAlignment="1" applyProtection="1">
      <alignment horizontal="center" vertical="center" wrapText="1"/>
      <protection locked="0"/>
    </xf>
    <xf numFmtId="165" fontId="79" fillId="0" borderId="0" xfId="1" applyNumberFormat="1" applyFont="1" applyFill="1"/>
    <xf numFmtId="0" fontId="22" fillId="2" borderId="3" xfId="35" applyFont="1" applyFill="1" applyBorder="1" applyAlignment="1" applyProtection="1">
      <alignment horizontal="center" vertical="center"/>
      <protection locked="0"/>
    </xf>
    <xf numFmtId="0" fontId="22" fillId="0" borderId="3" xfId="35" applyFont="1" applyBorder="1" applyAlignment="1">
      <alignment vertical="top" wrapText="1"/>
    </xf>
    <xf numFmtId="0" fontId="22" fillId="0" borderId="3" xfId="35" quotePrefix="1" applyFont="1" applyBorder="1" applyAlignment="1">
      <alignment vertical="top" wrapText="1"/>
    </xf>
    <xf numFmtId="0" fontId="22" fillId="0" borderId="3" xfId="17" applyFont="1" applyBorder="1" applyAlignment="1">
      <alignment vertical="top" wrapText="1"/>
    </xf>
    <xf numFmtId="41" fontId="22" fillId="0" borderId="24" xfId="13" applyNumberFormat="1" applyFont="1" applyBorder="1" applyAlignment="1">
      <alignment vertical="top" wrapText="1"/>
    </xf>
    <xf numFmtId="41" fontId="22" fillId="0" borderId="3" xfId="13" applyNumberFormat="1" applyFont="1" applyBorder="1" applyAlignment="1">
      <alignment horizontal="center" wrapText="1"/>
    </xf>
    <xf numFmtId="0" fontId="22" fillId="0" borderId="3" xfId="35" applyFont="1" applyBorder="1" applyAlignment="1">
      <alignment horizontal="center" vertical="top" wrapText="1"/>
    </xf>
    <xf numFmtId="41" fontId="22" fillId="0" borderId="24" xfId="13" applyNumberFormat="1" applyFont="1" applyBorder="1" applyAlignment="1">
      <alignment horizontal="center" vertical="center" wrapText="1"/>
    </xf>
    <xf numFmtId="0" fontId="22" fillId="0" borderId="0" xfId="35" applyFont="1" applyAlignment="1">
      <alignment vertical="top" wrapText="1"/>
    </xf>
    <xf numFmtId="0" fontId="22" fillId="0" borderId="3" xfId="35" applyFont="1" applyBorder="1" applyAlignment="1">
      <alignment horizontal="center" vertical="center"/>
    </xf>
    <xf numFmtId="0" fontId="9" fillId="0" borderId="0" xfId="0" applyFont="1"/>
    <xf numFmtId="0" fontId="22" fillId="0" borderId="24" xfId="35" applyFont="1" applyBorder="1" applyAlignment="1">
      <alignment horizontal="center" vertical="center"/>
    </xf>
    <xf numFmtId="3" fontId="22" fillId="0" borderId="9" xfId="13" applyNumberFormat="1" applyFont="1" applyBorder="1" applyAlignment="1">
      <alignment vertical="top"/>
    </xf>
    <xf numFmtId="0" fontId="22" fillId="0" borderId="0" xfId="13" applyFont="1" applyAlignment="1">
      <alignment vertical="top" wrapText="1"/>
    </xf>
    <xf numFmtId="0" fontId="9" fillId="0" borderId="0" xfId="0" applyFont="1" applyAlignment="1">
      <alignment wrapText="1"/>
    </xf>
    <xf numFmtId="3" fontId="22" fillId="0" borderId="3" xfId="13" applyNumberFormat="1" applyFont="1" applyBorder="1" applyAlignment="1">
      <alignment vertical="top"/>
    </xf>
    <xf numFmtId="0" fontId="22" fillId="4" borderId="3" xfId="0" applyFont="1" applyFill="1" applyBorder="1" applyAlignment="1" applyProtection="1">
      <alignment horizontal="center"/>
      <protection locked="0"/>
    </xf>
    <xf numFmtId="0" fontId="22" fillId="0" borderId="13" xfId="13" applyFont="1" applyBorder="1" applyAlignment="1">
      <alignment vertical="top" wrapText="1"/>
    </xf>
    <xf numFmtId="0" fontId="22" fillId="0" borderId="13" xfId="35" applyFont="1" applyBorder="1" applyAlignment="1">
      <alignment horizontal="center" vertical="center"/>
    </xf>
    <xf numFmtId="41" fontId="81" fillId="5" borderId="3" xfId="0" applyNumberFormat="1" applyFont="1" applyFill="1" applyBorder="1" applyAlignment="1">
      <alignment horizontal="right" wrapText="1"/>
    </xf>
    <xf numFmtId="165" fontId="9" fillId="0" borderId="0" xfId="1" applyNumberFormat="1" applyFont="1" applyFill="1" applyAlignment="1">
      <alignment horizontal="center"/>
    </xf>
    <xf numFmtId="37" fontId="22" fillId="2" borderId="3" xfId="13" applyNumberFormat="1" applyFont="1" applyFill="1" applyBorder="1" applyAlignment="1" applyProtection="1">
      <alignment vertical="top"/>
      <protection locked="0"/>
    </xf>
    <xf numFmtId="0" fontId="22" fillId="2" borderId="3" xfId="0" applyFont="1" applyFill="1" applyBorder="1" applyAlignment="1" applyProtection="1">
      <alignment horizontal="left" wrapText="1"/>
      <protection locked="0"/>
    </xf>
    <xf numFmtId="0" fontId="22" fillId="0" borderId="3" xfId="13" applyFont="1" applyBorder="1" applyAlignment="1">
      <alignment horizontal="left" vertical="top" wrapText="1"/>
    </xf>
    <xf numFmtId="0" fontId="22" fillId="2" borderId="12" xfId="9" applyFont="1" applyFill="1" applyBorder="1" applyAlignment="1" applyProtection="1">
      <alignment horizontal="center" vertical="center" wrapText="1"/>
      <protection locked="0"/>
    </xf>
    <xf numFmtId="0" fontId="22" fillId="0" borderId="3" xfId="0" applyFont="1" applyBorder="1" applyAlignment="1">
      <alignment horizontal="left" vertical="center" wrapText="1"/>
    </xf>
    <xf numFmtId="41" fontId="22" fillId="0" borderId="3" xfId="13" applyNumberFormat="1" applyFont="1" applyBorder="1" applyAlignment="1">
      <alignment vertical="top"/>
    </xf>
    <xf numFmtId="0" fontId="22" fillId="0" borderId="3" xfId="13" applyFont="1" applyBorder="1" applyAlignment="1">
      <alignment horizontal="center" vertical="center" wrapText="1"/>
    </xf>
    <xf numFmtId="0" fontId="22" fillId="0" borderId="7" xfId="13" applyFont="1" applyBorder="1" applyAlignment="1">
      <alignment horizontal="center" vertical="center" wrapText="1"/>
    </xf>
    <xf numFmtId="0" fontId="22" fillId="2" borderId="3" xfId="13" applyFont="1" applyFill="1" applyBorder="1" applyAlignment="1" applyProtection="1">
      <alignment vertical="top" wrapText="1"/>
      <protection locked="0"/>
    </xf>
    <xf numFmtId="41" fontId="22" fillId="0" borderId="3" xfId="48" applyNumberFormat="1" applyFont="1" applyFill="1" applyBorder="1" applyAlignment="1" applyProtection="1">
      <alignment vertical="top"/>
    </xf>
    <xf numFmtId="3" fontId="22" fillId="0" borderId="18" xfId="13" applyNumberFormat="1" applyFont="1" applyBorder="1" applyAlignment="1">
      <alignment vertical="top"/>
    </xf>
    <xf numFmtId="0" fontId="22" fillId="0" borderId="3" xfId="13" applyFont="1" applyBorder="1" applyAlignment="1">
      <alignment vertical="top" wrapText="1"/>
    </xf>
    <xf numFmtId="0" fontId="22" fillId="4" borderId="3" xfId="0" applyFont="1" applyFill="1" applyBorder="1" applyAlignment="1" applyProtection="1">
      <alignment wrapText="1"/>
      <protection locked="0"/>
    </xf>
    <xf numFmtId="0" fontId="22" fillId="2" borderId="13" xfId="0" applyFont="1" applyFill="1" applyBorder="1" applyAlignment="1" applyProtection="1">
      <alignment vertical="top" wrapText="1"/>
      <protection locked="0"/>
    </xf>
    <xf numFmtId="0" fontId="22" fillId="0" borderId="3" xfId="35" applyFont="1" applyBorder="1" applyAlignment="1">
      <alignment horizontal="center" vertical="center" wrapText="1"/>
    </xf>
    <xf numFmtId="3" fontId="22" fillId="2" borderId="3" xfId="13" applyNumberFormat="1" applyFont="1" applyFill="1" applyBorder="1" applyAlignment="1" applyProtection="1">
      <alignment vertical="top" wrapText="1"/>
      <protection locked="0"/>
    </xf>
    <xf numFmtId="0" fontId="22" fillId="4" borderId="3" xfId="13" applyFont="1" applyFill="1" applyBorder="1" applyAlignment="1" applyProtection="1">
      <alignment vertical="top" wrapText="1"/>
      <protection locked="0"/>
    </xf>
    <xf numFmtId="0" fontId="22" fillId="2" borderId="3"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center" wrapText="1"/>
      <protection locked="0"/>
    </xf>
    <xf numFmtId="41" fontId="22" fillId="2" borderId="12" xfId="0" applyNumberFormat="1" applyFont="1" applyFill="1" applyBorder="1" applyAlignment="1" applyProtection="1">
      <alignment horizontal="left" vertical="center" wrapText="1"/>
      <protection locked="0"/>
    </xf>
    <xf numFmtId="41" fontId="22" fillId="2" borderId="3" xfId="0" applyNumberFormat="1" applyFont="1" applyFill="1" applyBorder="1" applyAlignment="1" applyProtection="1">
      <alignment horizontal="left" vertical="center" wrapText="1"/>
      <protection locked="0"/>
    </xf>
    <xf numFmtId="41" fontId="22" fillId="2" borderId="3" xfId="13" applyNumberFormat="1" applyFont="1" applyFill="1" applyBorder="1" applyAlignment="1" applyProtection="1">
      <alignment vertical="top"/>
      <protection locked="0"/>
    </xf>
    <xf numFmtId="0" fontId="22" fillId="0" borderId="3" xfId="13" applyFont="1" applyBorder="1" applyAlignment="1">
      <alignment horizontal="center" wrapText="1"/>
    </xf>
    <xf numFmtId="3" fontId="22" fillId="0" borderId="3" xfId="13" applyNumberFormat="1" applyFont="1" applyBorder="1" applyAlignment="1">
      <alignment vertical="top" wrapText="1"/>
    </xf>
    <xf numFmtId="0" fontId="22" fillId="5" borderId="0" xfId="0" applyFont="1" applyFill="1" applyAlignment="1">
      <alignment horizontal="center" vertical="center" wrapText="1"/>
    </xf>
    <xf numFmtId="49" fontId="85" fillId="3" borderId="27" xfId="77" applyNumberFormat="1" applyFont="1" applyFill="1" applyBorder="1" applyAlignment="1">
      <alignment horizontal="center"/>
    </xf>
    <xf numFmtId="49" fontId="85" fillId="3" borderId="27" xfId="77" applyNumberFormat="1" applyFont="1" applyFill="1" applyBorder="1"/>
    <xf numFmtId="0" fontId="89" fillId="0" borderId="3" xfId="17" applyFont="1" applyBorder="1" applyAlignment="1">
      <alignment vertical="top" wrapText="1"/>
    </xf>
    <xf numFmtId="0" fontId="88" fillId="0" borderId="0" xfId="0" applyFont="1"/>
    <xf numFmtId="0" fontId="88" fillId="0" borderId="0" xfId="0" applyFont="1" applyAlignment="1">
      <alignment horizontal="center" vertical="center"/>
    </xf>
    <xf numFmtId="0" fontId="89" fillId="0" borderId="0" xfId="17" applyFont="1" applyAlignment="1">
      <alignment vertical="top" wrapText="1"/>
    </xf>
    <xf numFmtId="0" fontId="88" fillId="0" borderId="0" xfId="17" applyFont="1" applyAlignment="1">
      <alignment vertical="top" wrapText="1"/>
    </xf>
    <xf numFmtId="41" fontId="88" fillId="0" borderId="3" xfId="17" applyNumberFormat="1" applyFont="1" applyBorder="1" applyAlignment="1">
      <alignment vertical="top" wrapText="1"/>
    </xf>
    <xf numFmtId="0" fontId="88" fillId="0" borderId="3" xfId="35" applyFont="1" applyBorder="1" applyAlignment="1">
      <alignment horizontal="center" vertical="center"/>
    </xf>
    <xf numFmtId="0" fontId="88" fillId="0" borderId="3" xfId="35" applyFont="1" applyBorder="1" applyAlignment="1">
      <alignment vertical="top" wrapText="1"/>
    </xf>
    <xf numFmtId="0" fontId="91" fillId="0" borderId="0" xfId="0" applyFont="1"/>
    <xf numFmtId="0" fontId="88" fillId="0" borderId="3" xfId="0" applyFont="1" applyBorder="1" applyAlignment="1">
      <alignment vertical="top" wrapText="1"/>
    </xf>
    <xf numFmtId="0" fontId="88" fillId="0" borderId="0" xfId="0" applyFont="1" applyAlignment="1">
      <alignment vertical="top"/>
    </xf>
    <xf numFmtId="0" fontId="88" fillId="0" borderId="11" xfId="0" applyFont="1" applyBorder="1" applyAlignment="1">
      <alignment horizontal="center" vertical="top"/>
    </xf>
    <xf numFmtId="0" fontId="88" fillId="0" borderId="0" xfId="0" applyFont="1" applyAlignment="1">
      <alignment vertical="top" wrapText="1"/>
    </xf>
    <xf numFmtId="0" fontId="88" fillId="0" borderId="3" xfId="13" applyFont="1" applyBorder="1" applyAlignment="1">
      <alignment horizontal="center" vertical="center" wrapText="1"/>
    </xf>
    <xf numFmtId="0" fontId="89" fillId="0" borderId="3" xfId="13" applyFont="1" applyBorder="1" applyAlignment="1">
      <alignment vertical="top" wrapText="1"/>
    </xf>
    <xf numFmtId="0" fontId="88" fillId="0" borderId="3" xfId="13" applyFont="1" applyBorder="1" applyAlignment="1">
      <alignment horizontal="center" wrapText="1"/>
    </xf>
    <xf numFmtId="0" fontId="88" fillId="0" borderId="12" xfId="13" applyFont="1" applyBorder="1" applyAlignment="1">
      <alignment vertical="top" wrapText="1"/>
    </xf>
    <xf numFmtId="0" fontId="88" fillId="0" borderId="3" xfId="13" applyFont="1" applyBorder="1" applyAlignment="1">
      <alignment vertical="top" wrapText="1"/>
    </xf>
    <xf numFmtId="0" fontId="88" fillId="0" borderId="9" xfId="35" applyFont="1" applyBorder="1" applyAlignment="1">
      <alignment horizontal="right" vertical="top" wrapText="1"/>
    </xf>
    <xf numFmtId="42" fontId="88" fillId="0" borderId="8" xfId="35" applyNumberFormat="1" applyFont="1" applyBorder="1" applyAlignment="1">
      <alignment vertical="top" wrapText="1"/>
    </xf>
    <xf numFmtId="0" fontId="88" fillId="0" borderId="0" xfId="35" applyFont="1"/>
    <xf numFmtId="0" fontId="91" fillId="0" borderId="0" xfId="35" applyFont="1"/>
    <xf numFmtId="0" fontId="96" fillId="0" borderId="3" xfId="35" applyFont="1" applyBorder="1" applyAlignment="1">
      <alignment vertical="top" wrapText="1"/>
    </xf>
    <xf numFmtId="0" fontId="88" fillId="0" borderId="0" xfId="13" applyFont="1"/>
    <xf numFmtId="0" fontId="88" fillId="0" borderId="0" xfId="13" applyFont="1" applyAlignment="1">
      <alignment vertical="top"/>
    </xf>
    <xf numFmtId="0" fontId="88" fillId="0" borderId="0" xfId="13" applyFont="1" applyAlignment="1">
      <alignment vertical="top" wrapText="1"/>
    </xf>
    <xf numFmtId="0" fontId="88" fillId="0" borderId="4" xfId="35" applyFont="1" applyBorder="1" applyAlignment="1">
      <alignment horizontal="center" vertical="center"/>
    </xf>
    <xf numFmtId="0" fontId="88" fillId="0" borderId="9" xfId="0" applyFont="1" applyBorder="1"/>
    <xf numFmtId="0" fontId="88" fillId="0" borderId="25" xfId="0" applyFont="1" applyBorder="1"/>
    <xf numFmtId="49" fontId="76" fillId="6" borderId="3" xfId="19" applyNumberFormat="1" applyFont="1" applyFill="1" applyBorder="1" applyAlignment="1">
      <alignment horizontal="center" vertical="center" wrapText="1"/>
    </xf>
    <xf numFmtId="49" fontId="29" fillId="6" borderId="3" xfId="0" applyNumberFormat="1" applyFont="1" applyFill="1" applyBorder="1" applyAlignment="1">
      <alignment horizontal="center" vertical="center" wrapText="1"/>
    </xf>
    <xf numFmtId="0" fontId="0" fillId="0" borderId="26" xfId="0" applyBorder="1" applyAlignment="1">
      <alignment horizontal="left"/>
    </xf>
    <xf numFmtId="0" fontId="0" fillId="0" borderId="28" xfId="0" applyBorder="1"/>
    <xf numFmtId="0" fontId="0" fillId="0" borderId="29" xfId="0" applyBorder="1" applyAlignment="1">
      <alignment horizontal="left"/>
    </xf>
    <xf numFmtId="0" fontId="81" fillId="2" borderId="13" xfId="98" applyFont="1" applyFill="1" applyBorder="1" applyAlignment="1" applyProtection="1">
      <alignment wrapText="1"/>
      <protection locked="0"/>
    </xf>
    <xf numFmtId="41" fontId="81" fillId="2" borderId="3" xfId="98" applyNumberFormat="1" applyFont="1" applyFill="1" applyBorder="1" applyProtection="1">
      <protection locked="0"/>
    </xf>
    <xf numFmtId="41" fontId="81" fillId="2" borderId="3" xfId="43" applyNumberFormat="1" applyFont="1" applyFill="1" applyBorder="1" applyProtection="1">
      <protection locked="0"/>
    </xf>
    <xf numFmtId="0" fontId="81" fillId="2" borderId="3" xfId="98" applyFont="1" applyFill="1" applyBorder="1" applyAlignment="1" applyProtection="1">
      <alignment wrapText="1"/>
      <protection locked="0"/>
    </xf>
    <xf numFmtId="41" fontId="81" fillId="2" borderId="3" xfId="98" applyNumberFormat="1" applyFont="1" applyFill="1" applyBorder="1" applyAlignment="1" applyProtection="1">
      <alignment wrapText="1"/>
      <protection locked="0"/>
    </xf>
    <xf numFmtId="41" fontId="81" fillId="2" borderId="13" xfId="98" applyNumberFormat="1" applyFont="1" applyFill="1" applyBorder="1" applyAlignment="1" applyProtection="1">
      <alignment horizontal="right"/>
      <protection locked="0"/>
    </xf>
    <xf numFmtId="41" fontId="81" fillId="2" borderId="13" xfId="169" applyNumberFormat="1" applyFont="1" applyFill="1" applyBorder="1" applyAlignment="1" applyProtection="1">
      <alignment horizontal="right"/>
      <protection locked="0"/>
    </xf>
    <xf numFmtId="0" fontId="81" fillId="0" borderId="6" xfId="98" applyFont="1" applyBorder="1" applyAlignment="1">
      <alignment wrapText="1"/>
    </xf>
    <xf numFmtId="0" fontId="81" fillId="0" borderId="6" xfId="169" applyNumberFormat="1" applyFont="1" applyFill="1" applyBorder="1" applyAlignment="1" applyProtection="1">
      <alignment horizontal="right"/>
    </xf>
    <xf numFmtId="0" fontId="22" fillId="0" borderId="4" xfId="13" applyFont="1" applyBorder="1" applyAlignment="1">
      <alignment vertical="top" wrapText="1"/>
    </xf>
    <xf numFmtId="0" fontId="22" fillId="2" borderId="13" xfId="0" applyFont="1" applyFill="1" applyBorder="1" applyAlignment="1" applyProtection="1">
      <alignment horizontal="center" vertical="center" wrapText="1"/>
      <protection locked="0"/>
    </xf>
    <xf numFmtId="49" fontId="76" fillId="3" borderId="3" xfId="19" applyNumberFormat="1" applyFont="1" applyFill="1" applyBorder="1" applyAlignment="1">
      <alignment horizontal="center" vertical="center"/>
    </xf>
    <xf numFmtId="49" fontId="29" fillId="3" borderId="3"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xf>
    <xf numFmtId="49" fontId="0" fillId="0" borderId="0" xfId="0" applyNumberFormat="1"/>
    <xf numFmtId="0" fontId="21" fillId="5" borderId="0" xfId="0" applyFont="1" applyFill="1"/>
    <xf numFmtId="0" fontId="21" fillId="5" borderId="0" xfId="0" applyFont="1" applyFill="1" applyAlignment="1">
      <alignment horizontal="left"/>
    </xf>
    <xf numFmtId="0" fontId="21" fillId="5" borderId="0" xfId="0" applyFont="1" applyFill="1" applyAlignment="1">
      <alignment horizontal="left" wrapText="1"/>
    </xf>
    <xf numFmtId="0" fontId="20" fillId="5" borderId="0" xfId="0" applyFont="1" applyFill="1" applyAlignment="1">
      <alignment horizontal="left"/>
    </xf>
    <xf numFmtId="0" fontId="20" fillId="5" borderId="0" xfId="0" applyFont="1" applyFill="1"/>
    <xf numFmtId="0" fontId="32" fillId="5" borderId="0" xfId="0" applyFont="1" applyFill="1" applyAlignment="1">
      <alignment horizontal="left"/>
    </xf>
    <xf numFmtId="0" fontId="22" fillId="5" borderId="0" xfId="0" applyFont="1" applyFill="1"/>
    <xf numFmtId="164" fontId="20" fillId="5" borderId="0" xfId="0" applyNumberFormat="1" applyFont="1" applyFill="1" applyAlignment="1">
      <alignment horizontal="left"/>
    </xf>
    <xf numFmtId="164" fontId="21" fillId="5" borderId="0" xfId="0" quotePrefix="1" applyNumberFormat="1" applyFont="1" applyFill="1" applyAlignment="1">
      <alignment horizontal="left"/>
    </xf>
    <xf numFmtId="0" fontId="20" fillId="5" borderId="2" xfId="0" applyFont="1" applyFill="1" applyBorder="1" applyAlignment="1">
      <alignment horizontal="center"/>
    </xf>
    <xf numFmtId="0" fontId="20" fillId="5" borderId="2" xfId="0" applyFont="1" applyFill="1" applyBorder="1" applyAlignment="1">
      <alignment horizontal="center" wrapText="1"/>
    </xf>
    <xf numFmtId="0" fontId="20" fillId="5" borderId="0" xfId="0" applyFont="1" applyFill="1" applyAlignment="1">
      <alignment horizontal="center" wrapText="1"/>
    </xf>
    <xf numFmtId="165" fontId="21" fillId="5" borderId="0" xfId="1" applyNumberFormat="1" applyFont="1" applyFill="1" applyBorder="1" applyAlignment="1" applyProtection="1">
      <alignment wrapText="1"/>
    </xf>
    <xf numFmtId="165" fontId="21" fillId="5" borderId="3" xfId="1" applyNumberFormat="1" applyFont="1" applyFill="1" applyBorder="1" applyAlignment="1" applyProtection="1">
      <alignment wrapText="1"/>
    </xf>
    <xf numFmtId="165" fontId="21" fillId="5" borderId="0" xfId="1" applyNumberFormat="1" applyFont="1" applyFill="1" applyBorder="1" applyProtection="1"/>
    <xf numFmtId="41" fontId="21" fillId="5" borderId="3" xfId="1" applyNumberFormat="1" applyFont="1" applyFill="1" applyBorder="1" applyProtection="1"/>
    <xf numFmtId="165" fontId="21" fillId="5" borderId="3" xfId="1" applyNumberFormat="1" applyFont="1" applyFill="1" applyBorder="1" applyProtection="1"/>
    <xf numFmtId="0" fontId="23" fillId="5" borderId="0" xfId="0" applyFont="1" applyFill="1" applyAlignment="1">
      <alignment horizontal="left"/>
    </xf>
    <xf numFmtId="0" fontId="24" fillId="5" borderId="0" xfId="0" applyFont="1" applyFill="1"/>
    <xf numFmtId="165" fontId="21" fillId="5" borderId="0" xfId="1" applyNumberFormat="1" applyFont="1" applyFill="1" applyProtection="1"/>
    <xf numFmtId="41" fontId="21" fillId="5" borderId="4" xfId="1" applyNumberFormat="1" applyFont="1" applyFill="1" applyBorder="1" applyProtection="1"/>
    <xf numFmtId="0" fontId="25" fillId="5" borderId="0" xfId="0" applyFont="1" applyFill="1"/>
    <xf numFmtId="49" fontId="21" fillId="5" borderId="0" xfId="0" applyNumberFormat="1" applyFont="1" applyFill="1" applyAlignment="1">
      <alignment wrapText="1"/>
    </xf>
    <xf numFmtId="0" fontId="21" fillId="5" borderId="0" xfId="0" applyFont="1" applyFill="1" applyAlignment="1">
      <alignment wrapText="1"/>
    </xf>
    <xf numFmtId="0" fontId="24" fillId="5" borderId="0" xfId="0" applyFont="1" applyFill="1" applyAlignment="1">
      <alignment horizontal="left"/>
    </xf>
    <xf numFmtId="41" fontId="21" fillId="5" borderId="5" xfId="1" applyNumberFormat="1" applyFont="1" applyFill="1" applyBorder="1" applyProtection="1"/>
    <xf numFmtId="165" fontId="21" fillId="5" borderId="5" xfId="1" applyNumberFormat="1" applyFont="1" applyFill="1" applyBorder="1" applyProtection="1"/>
    <xf numFmtId="41" fontId="21" fillId="5" borderId="0" xfId="1" applyNumberFormat="1" applyFont="1" applyFill="1" applyBorder="1" applyProtection="1"/>
    <xf numFmtId="41" fontId="21" fillId="5" borderId="0" xfId="0" applyNumberFormat="1" applyFont="1" applyFill="1"/>
    <xf numFmtId="0" fontId="20" fillId="5" borderId="0" xfId="0" applyFont="1" applyFill="1" applyAlignment="1">
      <alignment horizontal="center"/>
    </xf>
    <xf numFmtId="166" fontId="21" fillId="5" borderId="0" xfId="18" applyFont="1" applyFill="1" applyAlignment="1">
      <alignment horizontal="left"/>
    </xf>
    <xf numFmtId="0" fontId="26" fillId="5" borderId="0" xfId="0" applyFont="1" applyFill="1" applyAlignment="1">
      <alignment horizontal="left"/>
    </xf>
    <xf numFmtId="166" fontId="21" fillId="5" borderId="0" xfId="18" applyFont="1" applyFill="1"/>
    <xf numFmtId="165" fontId="21" fillId="5" borderId="4" xfId="1" applyNumberFormat="1" applyFont="1" applyFill="1" applyBorder="1" applyProtection="1"/>
    <xf numFmtId="166" fontId="52" fillId="5" borderId="0" xfId="18" applyFont="1" applyFill="1" applyAlignment="1">
      <alignment horizontal="left"/>
    </xf>
    <xf numFmtId="165" fontId="21" fillId="5" borderId="7" xfId="1" applyNumberFormat="1" applyFont="1" applyFill="1" applyBorder="1" applyProtection="1"/>
    <xf numFmtId="165" fontId="21" fillId="5" borderId="13" xfId="1" applyNumberFormat="1" applyFont="1" applyFill="1" applyBorder="1" applyProtection="1"/>
    <xf numFmtId="165" fontId="21" fillId="5" borderId="13" xfId="1" applyNumberFormat="1" applyFont="1" applyFill="1" applyBorder="1" applyAlignment="1" applyProtection="1">
      <alignment wrapText="1"/>
    </xf>
    <xf numFmtId="41" fontId="21" fillId="5" borderId="13" xfId="1" applyNumberFormat="1" applyFont="1" applyFill="1" applyBorder="1" applyProtection="1"/>
    <xf numFmtId="0" fontId="39" fillId="5" borderId="0" xfId="0" applyFont="1" applyFill="1" applyAlignment="1">
      <alignment horizontal="right"/>
    </xf>
    <xf numFmtId="41" fontId="39" fillId="5" borderId="21" xfId="1" applyNumberFormat="1" applyFont="1" applyFill="1" applyBorder="1" applyProtection="1"/>
    <xf numFmtId="165" fontId="23" fillId="5" borderId="0" xfId="1" applyNumberFormat="1" applyFont="1" applyFill="1" applyBorder="1" applyProtection="1"/>
    <xf numFmtId="164" fontId="20" fillId="5" borderId="0" xfId="0" quotePrefix="1" applyNumberFormat="1" applyFont="1" applyFill="1" applyAlignment="1">
      <alignment horizontal="left"/>
    </xf>
    <xf numFmtId="165" fontId="21" fillId="5" borderId="0" xfId="1" applyNumberFormat="1" applyFont="1" applyFill="1" applyAlignment="1" applyProtection="1">
      <alignment wrapText="1"/>
    </xf>
    <xf numFmtId="165" fontId="21" fillId="5" borderId="5" xfId="1" applyNumberFormat="1" applyFont="1" applyFill="1" applyBorder="1" applyAlignment="1" applyProtection="1">
      <alignment wrapText="1"/>
    </xf>
    <xf numFmtId="0" fontId="100" fillId="5" borderId="0" xfId="0" applyFont="1" applyFill="1"/>
    <xf numFmtId="0" fontId="32" fillId="5" borderId="0" xfId="0" applyFont="1" applyFill="1" applyAlignment="1">
      <alignment horizontal="center"/>
    </xf>
    <xf numFmtId="0" fontId="22" fillId="5" borderId="3" xfId="0" applyFont="1" applyFill="1" applyBorder="1"/>
    <xf numFmtId="0" fontId="32" fillId="5" borderId="0" xfId="0" applyFont="1" applyFill="1" applyAlignment="1">
      <alignment horizontal="right"/>
    </xf>
    <xf numFmtId="41" fontId="21" fillId="4" borderId="3" xfId="1" applyNumberFormat="1" applyFont="1" applyFill="1" applyBorder="1" applyAlignment="1" applyProtection="1">
      <alignment wrapText="1"/>
      <protection locked="0"/>
    </xf>
    <xf numFmtId="49" fontId="20" fillId="4" borderId="3" xfId="0" applyNumberFormat="1" applyFont="1" applyFill="1" applyBorder="1" applyAlignment="1" applyProtection="1">
      <alignment wrapText="1"/>
      <protection locked="0"/>
    </xf>
    <xf numFmtId="41" fontId="21" fillId="4" borderId="3" xfId="1" applyNumberFormat="1" applyFont="1" applyFill="1" applyBorder="1" applyProtection="1">
      <protection locked="0"/>
    </xf>
    <xf numFmtId="41" fontId="21" fillId="4" borderId="4" xfId="1" applyNumberFormat="1" applyFont="1" applyFill="1" applyBorder="1" applyProtection="1">
      <protection locked="0"/>
    </xf>
    <xf numFmtId="41" fontId="22" fillId="4" borderId="3" xfId="0" applyNumberFormat="1" applyFont="1" applyFill="1" applyBorder="1" applyProtection="1">
      <protection locked="0"/>
    </xf>
    <xf numFmtId="0" fontId="22" fillId="4" borderId="0" xfId="0" applyFont="1" applyFill="1"/>
    <xf numFmtId="0" fontId="23" fillId="5" borderId="0" xfId="0" applyFont="1" applyFill="1"/>
    <xf numFmtId="0" fontId="17" fillId="5" borderId="0" xfId="0" applyFont="1" applyFill="1" applyAlignment="1">
      <alignment wrapText="1"/>
    </xf>
    <xf numFmtId="0" fontId="39" fillId="5" borderId="0" xfId="0" applyFont="1" applyFill="1" applyAlignment="1">
      <alignment horizontal="center" wrapText="1"/>
    </xf>
    <xf numFmtId="0" fontId="24" fillId="5" borderId="0" xfId="0" applyFont="1" applyFill="1" applyAlignment="1">
      <alignment horizontal="left" wrapText="1"/>
    </xf>
    <xf numFmtId="165" fontId="39" fillId="5" borderId="0" xfId="1" applyNumberFormat="1" applyFont="1" applyFill="1" applyBorder="1" applyAlignment="1" applyProtection="1">
      <alignment horizontal="right"/>
    </xf>
    <xf numFmtId="41" fontId="39" fillId="5" borderId="0" xfId="1" applyNumberFormat="1" applyFont="1" applyFill="1" applyBorder="1" applyProtection="1"/>
    <xf numFmtId="165" fontId="20" fillId="5" borderId="0" xfId="1" applyNumberFormat="1" applyFont="1" applyFill="1" applyBorder="1" applyProtection="1"/>
    <xf numFmtId="0" fontId="101" fillId="5" borderId="0" xfId="0" applyFont="1" applyFill="1"/>
    <xf numFmtId="41" fontId="23" fillId="5" borderId="0" xfId="1" applyNumberFormat="1" applyFont="1" applyFill="1" applyBorder="1" applyProtection="1"/>
    <xf numFmtId="41" fontId="21" fillId="5" borderId="0" xfId="1" applyNumberFormat="1" applyFont="1" applyFill="1" applyProtection="1"/>
    <xf numFmtId="165" fontId="21" fillId="5" borderId="0" xfId="0" applyNumberFormat="1" applyFont="1" applyFill="1"/>
    <xf numFmtId="41" fontId="21" fillId="4" borderId="13" xfId="1" applyNumberFormat="1" applyFont="1" applyFill="1" applyBorder="1" applyProtection="1">
      <protection locked="0"/>
    </xf>
    <xf numFmtId="0" fontId="22" fillId="5" borderId="0" xfId="0" applyFont="1" applyFill="1" applyAlignment="1">
      <alignment horizontal="center"/>
    </xf>
    <xf numFmtId="0" fontId="20" fillId="5" borderId="3" xfId="0" applyFont="1" applyFill="1" applyBorder="1"/>
    <xf numFmtId="0" fontId="22" fillId="5" borderId="0" xfId="0" applyFont="1" applyFill="1" applyAlignment="1">
      <alignment horizontal="left"/>
    </xf>
    <xf numFmtId="168" fontId="22" fillId="5" borderId="0" xfId="0" applyNumberFormat="1" applyFont="1" applyFill="1" applyAlignment="1">
      <alignment horizontal="left"/>
    </xf>
    <xf numFmtId="0" fontId="32" fillId="5" borderId="0" xfId="0" applyFont="1" applyFill="1" applyAlignment="1">
      <alignment horizontal="left" wrapText="1"/>
    </xf>
    <xf numFmtId="0" fontId="22" fillId="5" borderId="0" xfId="0" applyFont="1" applyFill="1" applyAlignment="1">
      <alignment horizontal="right"/>
    </xf>
    <xf numFmtId="41" fontId="53" fillId="5" borderId="3" xfId="1" applyNumberFormat="1" applyFont="1" applyFill="1" applyBorder="1" applyProtection="1"/>
    <xf numFmtId="41" fontId="53" fillId="5" borderId="0" xfId="1" applyNumberFormat="1" applyFont="1" applyFill="1" applyBorder="1" applyProtection="1"/>
    <xf numFmtId="41" fontId="53" fillId="5" borderId="15" xfId="1" applyNumberFormat="1" applyFont="1" applyFill="1" applyBorder="1" applyProtection="1"/>
    <xf numFmtId="0" fontId="22" fillId="5" borderId="0" xfId="0" applyFont="1" applyFill="1" applyAlignment="1">
      <alignment horizontal="right" wrapText="1"/>
    </xf>
    <xf numFmtId="0" fontId="22" fillId="5" borderId="0" xfId="0" applyFont="1" applyFill="1" applyAlignment="1">
      <alignment wrapText="1"/>
    </xf>
    <xf numFmtId="41" fontId="0" fillId="5" borderId="0" xfId="0" applyNumberFormat="1" applyFill="1" applyAlignment="1">
      <alignment wrapText="1"/>
    </xf>
    <xf numFmtId="41" fontId="68" fillId="5" borderId="0" xfId="0" applyNumberFormat="1" applyFont="1" applyFill="1" applyAlignment="1">
      <alignment wrapText="1"/>
    </xf>
    <xf numFmtId="41" fontId="68" fillId="5" borderId="3" xfId="0" applyNumberFormat="1" applyFont="1" applyFill="1" applyBorder="1" applyAlignment="1">
      <alignment wrapText="1"/>
    </xf>
    <xf numFmtId="0" fontId="17" fillId="5" borderId="0" xfId="0" applyFont="1" applyFill="1" applyAlignment="1">
      <alignment horizontal="right"/>
    </xf>
    <xf numFmtId="0" fontId="17" fillId="5" borderId="0" xfId="0" applyFont="1" applyFill="1"/>
    <xf numFmtId="0" fontId="17" fillId="5" borderId="0" xfId="0" applyFont="1" applyFill="1" applyAlignment="1">
      <alignment horizontal="center"/>
    </xf>
    <xf numFmtId="0" fontId="17" fillId="5" borderId="0" xfId="0" applyFont="1" applyFill="1" applyAlignment="1">
      <alignment horizontal="left"/>
    </xf>
    <xf numFmtId="0" fontId="32" fillId="5" borderId="0" xfId="0" applyFont="1" applyFill="1" applyAlignment="1">
      <alignment horizontal="left" vertical="top"/>
    </xf>
    <xf numFmtId="0" fontId="22" fillId="5" borderId="0" xfId="0" applyFont="1" applyFill="1" applyAlignment="1">
      <alignment vertical="top"/>
    </xf>
    <xf numFmtId="0" fontId="22" fillId="5" borderId="0" xfId="0" applyFont="1" applyFill="1" applyAlignment="1">
      <alignment horizontal="right" vertical="top" wrapText="1"/>
    </xf>
    <xf numFmtId="0" fontId="22" fillId="5" borderId="0" xfId="0" applyFont="1" applyFill="1" applyAlignment="1">
      <alignment horizontal="left" vertical="top" wrapText="1"/>
    </xf>
    <xf numFmtId="42" fontId="66" fillId="5" borderId="0" xfId="1" applyNumberFormat="1" applyFont="1" applyFill="1" applyBorder="1" applyAlignment="1" applyProtection="1">
      <alignment horizontal="right"/>
    </xf>
    <xf numFmtId="42" fontId="53" fillId="5" borderId="10" xfId="1" applyNumberFormat="1" applyFont="1" applyFill="1" applyBorder="1" applyProtection="1"/>
    <xf numFmtId="41" fontId="66" fillId="5" borderId="0" xfId="0" applyNumberFormat="1" applyFont="1" applyFill="1" applyAlignment="1">
      <alignment horizontal="left"/>
    </xf>
    <xf numFmtId="42" fontId="53" fillId="5" borderId="0" xfId="1" applyNumberFormat="1" applyFont="1" applyFill="1" applyBorder="1" applyProtection="1"/>
    <xf numFmtId="41" fontId="66" fillId="5" borderId="0" xfId="0" applyNumberFormat="1" applyFont="1" applyFill="1"/>
    <xf numFmtId="0" fontId="32" fillId="5" borderId="0" xfId="0" applyFont="1" applyFill="1"/>
    <xf numFmtId="0" fontId="32" fillId="5" borderId="0" xfId="0" applyFont="1" applyFill="1" applyAlignment="1">
      <alignment horizontal="center" wrapText="1"/>
    </xf>
    <xf numFmtId="0" fontId="22" fillId="5" borderId="3" xfId="0" applyFont="1" applyFill="1" applyBorder="1" applyAlignment="1">
      <alignment horizontal="center"/>
    </xf>
    <xf numFmtId="0" fontId="81" fillId="5" borderId="3" xfId="0" applyFont="1" applyFill="1" applyBorder="1" applyAlignment="1">
      <alignment horizontal="center"/>
    </xf>
    <xf numFmtId="0" fontId="22" fillId="5" borderId="13" xfId="0" applyFont="1" applyFill="1" applyBorder="1"/>
    <xf numFmtId="0" fontId="22" fillId="5" borderId="0" xfId="0" applyFont="1" applyFill="1" applyAlignment="1">
      <alignment horizontal="right" indent="2"/>
    </xf>
    <xf numFmtId="42" fontId="22" fillId="5" borderId="8" xfId="1" applyNumberFormat="1" applyFont="1" applyFill="1" applyBorder="1" applyProtection="1"/>
    <xf numFmtId="42" fontId="22" fillId="5" borderId="0" xfId="1" applyNumberFormat="1" applyFont="1" applyFill="1" applyBorder="1" applyProtection="1"/>
    <xf numFmtId="0" fontId="38" fillId="5" borderId="0" xfId="0" applyFont="1" applyFill="1" applyAlignment="1">
      <alignment horizontal="center"/>
    </xf>
    <xf numFmtId="0" fontId="38" fillId="5" borderId="0" xfId="0" applyFont="1" applyFill="1"/>
    <xf numFmtId="0" fontId="66" fillId="5" borderId="0" xfId="12" applyFont="1" applyFill="1" applyAlignment="1">
      <alignment horizontal="right"/>
    </xf>
    <xf numFmtId="41" fontId="61" fillId="5" borderId="0" xfId="12" quotePrefix="1" applyNumberFormat="1" applyFont="1" applyFill="1" applyAlignment="1">
      <alignment horizontal="left"/>
    </xf>
    <xf numFmtId="0" fontId="32" fillId="5" borderId="0" xfId="0" quotePrefix="1" applyFont="1" applyFill="1" applyAlignment="1">
      <alignment horizontal="center"/>
    </xf>
    <xf numFmtId="42" fontId="17" fillId="5" borderId="0" xfId="1" applyNumberFormat="1" applyFont="1" applyFill="1" applyBorder="1" applyProtection="1"/>
    <xf numFmtId="0" fontId="16" fillId="5" borderId="0" xfId="0" applyFont="1" applyFill="1" applyAlignment="1">
      <alignment horizontal="center"/>
    </xf>
    <xf numFmtId="0" fontId="16" fillId="5" borderId="3" xfId="0" applyFont="1" applyFill="1" applyBorder="1" applyAlignment="1">
      <alignment horizontal="center"/>
    </xf>
    <xf numFmtId="0" fontId="16" fillId="5" borderId="0" xfId="0" applyFont="1" applyFill="1" applyAlignment="1">
      <alignment horizontal="center" wrapText="1"/>
    </xf>
    <xf numFmtId="0" fontId="32" fillId="5" borderId="0" xfId="0" applyFont="1" applyFill="1" applyAlignment="1">
      <alignment horizontal="center" vertical="top" wrapText="1"/>
    </xf>
    <xf numFmtId="49" fontId="22" fillId="5" borderId="3" xfId="0" applyNumberFormat="1" applyFont="1" applyFill="1" applyBorder="1" applyAlignment="1">
      <alignment horizontal="center" wrapText="1"/>
    </xf>
    <xf numFmtId="0" fontId="22" fillId="5" borderId="0" xfId="0" applyFont="1" applyFill="1" applyAlignment="1">
      <alignment horizontal="right" indent="1"/>
    </xf>
    <xf numFmtId="42" fontId="22" fillId="5" borderId="8" xfId="0" applyNumberFormat="1" applyFont="1" applyFill="1" applyBorder="1"/>
    <xf numFmtId="0" fontId="47" fillId="5" borderId="0" xfId="0" applyFont="1" applyFill="1"/>
    <xf numFmtId="42" fontId="32" fillId="5" borderId="0" xfId="0" applyNumberFormat="1" applyFont="1" applyFill="1"/>
    <xf numFmtId="0" fontId="22" fillId="5" borderId="0" xfId="0" applyFont="1" applyFill="1" applyAlignment="1">
      <alignment horizontal="right" vertical="top"/>
    </xf>
    <xf numFmtId="42" fontId="22" fillId="5" borderId="0" xfId="1" applyNumberFormat="1" applyFont="1" applyFill="1" applyBorder="1" applyAlignment="1" applyProtection="1">
      <alignment horizontal="left"/>
    </xf>
    <xf numFmtId="0" fontId="32" fillId="8" borderId="3" xfId="0" quotePrefix="1" applyFont="1" applyFill="1" applyBorder="1" applyAlignment="1">
      <alignment horizontal="center"/>
    </xf>
    <xf numFmtId="0" fontId="22" fillId="5" borderId="0" xfId="35" applyFont="1" applyFill="1"/>
    <xf numFmtId="0" fontId="51" fillId="5" borderId="0" xfId="0" applyFont="1" applyFill="1" applyAlignment="1">
      <alignment horizontal="left"/>
    </xf>
    <xf numFmtId="0" fontId="22" fillId="5" borderId="0" xfId="0" applyFont="1" applyFill="1" applyAlignment="1">
      <alignment horizontal="center" vertical="top"/>
    </xf>
    <xf numFmtId="0" fontId="22" fillId="5" borderId="0" xfId="0" applyFont="1" applyFill="1" applyAlignment="1">
      <alignment horizontal="center" wrapText="1"/>
    </xf>
    <xf numFmtId="37" fontId="32" fillId="5" borderId="0" xfId="0" applyNumberFormat="1" applyFont="1" applyFill="1" applyAlignment="1">
      <alignment horizontal="center" wrapText="1"/>
    </xf>
    <xf numFmtId="0" fontId="32" fillId="5" borderId="6" xfId="0" applyFont="1" applyFill="1" applyBorder="1" applyAlignment="1">
      <alignment horizontal="center" wrapText="1"/>
    </xf>
    <xf numFmtId="0" fontId="32" fillId="5" borderId="0" xfId="32" applyNumberFormat="1" applyFont="1" applyFill="1"/>
    <xf numFmtId="41" fontId="22" fillId="5" borderId="0" xfId="1" applyNumberFormat="1" applyFont="1" applyFill="1" applyBorder="1" applyProtection="1"/>
    <xf numFmtId="0" fontId="22" fillId="5" borderId="9" xfId="0" applyFont="1" applyFill="1" applyBorder="1" applyAlignment="1">
      <alignment horizontal="center"/>
    </xf>
    <xf numFmtId="41" fontId="22" fillId="5" borderId="3" xfId="1" applyNumberFormat="1" applyFont="1" applyFill="1" applyBorder="1" applyProtection="1"/>
    <xf numFmtId="0" fontId="22" fillId="5" borderId="25" xfId="0" applyFont="1" applyFill="1" applyBorder="1" applyAlignment="1">
      <alignment horizontal="center"/>
    </xf>
    <xf numFmtId="165" fontId="22" fillId="5" borderId="0" xfId="1" applyNumberFormat="1" applyFont="1" applyFill="1" applyAlignment="1" applyProtection="1">
      <alignment horizontal="center"/>
    </xf>
    <xf numFmtId="49" fontId="32" fillId="5" borderId="0" xfId="32" applyFont="1" applyFill="1"/>
    <xf numFmtId="37" fontId="22" fillId="5" borderId="0" xfId="0" applyNumberFormat="1" applyFont="1" applyFill="1"/>
    <xf numFmtId="41" fontId="22" fillId="5" borderId="7" xfId="1" applyNumberFormat="1" applyFont="1" applyFill="1" applyBorder="1" applyProtection="1"/>
    <xf numFmtId="41" fontId="22" fillId="5" borderId="0" xfId="0" applyNumberFormat="1" applyFont="1" applyFill="1"/>
    <xf numFmtId="0" fontId="22" fillId="5" borderId="8" xfId="0" applyFont="1" applyFill="1" applyBorder="1"/>
    <xf numFmtId="41" fontId="22" fillId="5" borderId="8" xfId="0" applyNumberFormat="1" applyFont="1" applyFill="1" applyBorder="1"/>
    <xf numFmtId="165" fontId="22" fillId="5" borderId="8" xfId="1" applyNumberFormat="1" applyFont="1" applyFill="1" applyBorder="1" applyAlignment="1" applyProtection="1">
      <alignment horizontal="center"/>
    </xf>
    <xf numFmtId="0" fontId="66" fillId="5" borderId="0" xfId="0" applyFont="1" applyFill="1" applyAlignment="1">
      <alignment horizontal="right"/>
    </xf>
    <xf numFmtId="41" fontId="22" fillId="4" borderId="3" xfId="1" applyNumberFormat="1" applyFont="1" applyFill="1" applyBorder="1" applyProtection="1">
      <protection locked="0"/>
    </xf>
    <xf numFmtId="0" fontId="22" fillId="4" borderId="0" xfId="0" applyFont="1" applyFill="1" applyAlignment="1">
      <alignment horizontal="center"/>
    </xf>
    <xf numFmtId="41" fontId="22" fillId="4" borderId="3" xfId="1" applyNumberFormat="1" applyFont="1" applyFill="1" applyBorder="1" applyProtection="1"/>
    <xf numFmtId="0" fontId="32" fillId="8" borderId="13" xfId="0" applyFont="1" applyFill="1" applyBorder="1" applyAlignment="1">
      <alignment horizontal="center"/>
    </xf>
    <xf numFmtId="37" fontId="58" fillId="5" borderId="0" xfId="10" applyFont="1" applyFill="1" applyAlignment="1">
      <alignment horizontal="left"/>
    </xf>
    <xf numFmtId="37" fontId="60" fillId="5" borderId="0" xfId="10" applyFont="1" applyFill="1" applyAlignment="1">
      <alignment horizontal="right"/>
    </xf>
    <xf numFmtId="0" fontId="58" fillId="5" borderId="0" xfId="9" applyFont="1" applyFill="1"/>
    <xf numFmtId="0" fontId="22" fillId="5" borderId="0" xfId="9" applyFont="1" applyFill="1"/>
    <xf numFmtId="0" fontId="67" fillId="5" borderId="0" xfId="9" applyFont="1" applyFill="1"/>
    <xf numFmtId="0" fontId="32" fillId="5" borderId="19" xfId="9" applyFont="1" applyFill="1" applyBorder="1" applyAlignment="1">
      <alignment horizontal="center"/>
    </xf>
    <xf numFmtId="0" fontId="32" fillId="5" borderId="19" xfId="9" applyFont="1" applyFill="1" applyBorder="1"/>
    <xf numFmtId="0" fontId="32" fillId="5" borderId="20" xfId="9" applyFont="1" applyFill="1" applyBorder="1"/>
    <xf numFmtId="0" fontId="32" fillId="5" borderId="20" xfId="9" applyFont="1" applyFill="1" applyBorder="1" applyAlignment="1">
      <alignment horizontal="center" wrapText="1"/>
    </xf>
    <xf numFmtId="0" fontId="29" fillId="5" borderId="3" xfId="0" applyFont="1" applyFill="1" applyBorder="1"/>
    <xf numFmtId="0" fontId="22" fillId="5" borderId="3" xfId="9" applyFont="1" applyFill="1" applyBorder="1" applyAlignment="1">
      <alignment horizontal="center"/>
    </xf>
    <xf numFmtId="0" fontId="22" fillId="5" borderId="3" xfId="9" applyFont="1" applyFill="1" applyBorder="1" applyAlignment="1">
      <alignment wrapText="1"/>
    </xf>
    <xf numFmtId="0" fontId="22" fillId="5" borderId="12" xfId="9" applyFont="1" applyFill="1" applyBorder="1" applyAlignment="1">
      <alignment wrapText="1"/>
    </xf>
    <xf numFmtId="0" fontId="22" fillId="5" borderId="13" xfId="9" applyFont="1" applyFill="1" applyBorder="1" applyAlignment="1">
      <alignment wrapText="1"/>
    </xf>
    <xf numFmtId="0" fontId="22" fillId="5" borderId="18" xfId="9" applyFont="1" applyFill="1" applyBorder="1" applyAlignment="1">
      <alignment wrapText="1"/>
    </xf>
    <xf numFmtId="0" fontId="47" fillId="5" borderId="0" xfId="9" applyFont="1" applyFill="1"/>
    <xf numFmtId="0" fontId="22" fillId="5" borderId="0" xfId="9" applyFont="1" applyFill="1" applyAlignment="1">
      <alignment horizontal="left"/>
    </xf>
    <xf numFmtId="0" fontId="22" fillId="5" borderId="0" xfId="9" applyFont="1" applyFill="1" applyAlignment="1">
      <alignment horizontal="left" wrapText="1"/>
    </xf>
    <xf numFmtId="0" fontId="81" fillId="5" borderId="0" xfId="9" applyFont="1" applyFill="1"/>
    <xf numFmtId="44" fontId="22" fillId="5" borderId="0" xfId="0" applyNumberFormat="1" applyFont="1" applyFill="1"/>
    <xf numFmtId="0" fontId="22" fillId="5" borderId="0" xfId="9" applyFont="1" applyFill="1" applyAlignment="1">
      <alignment horizontal="center"/>
    </xf>
    <xf numFmtId="0" fontId="27" fillId="5" borderId="0" xfId="16" applyFont="1" applyFill="1"/>
    <xf numFmtId="38" fontId="27" fillId="5" borderId="0" xfId="16" applyNumberFormat="1" applyFont="1" applyFill="1" applyAlignment="1">
      <alignment horizontal="left" vertical="top"/>
    </xf>
    <xf numFmtId="0" fontId="27" fillId="5" borderId="0" xfId="0" applyFont="1" applyFill="1" applyAlignment="1">
      <alignment horizontal="left" vertical="top" wrapText="1"/>
    </xf>
    <xf numFmtId="38" fontId="27" fillId="5" borderId="0" xfId="16" applyNumberFormat="1" applyFont="1" applyFill="1"/>
    <xf numFmtId="164" fontId="20" fillId="5" borderId="6" xfId="0" applyNumberFormat="1" applyFont="1" applyFill="1" applyBorder="1" applyAlignment="1">
      <alignment horizontal="left"/>
    </xf>
    <xf numFmtId="38" fontId="27" fillId="5" borderId="6" xfId="16" applyNumberFormat="1" applyFont="1" applyFill="1" applyBorder="1"/>
    <xf numFmtId="0" fontId="27" fillId="5" borderId="6" xfId="16" applyFont="1" applyFill="1" applyBorder="1"/>
    <xf numFmtId="0" fontId="29" fillId="5" borderId="0" xfId="16" applyFont="1" applyFill="1"/>
    <xf numFmtId="38" fontId="27" fillId="5" borderId="0" xfId="16" applyNumberFormat="1" applyFont="1" applyFill="1" applyAlignment="1">
      <alignment horizontal="center" wrapText="1"/>
    </xf>
    <xf numFmtId="38" fontId="12" fillId="5" borderId="7" xfId="16" applyNumberFormat="1" applyFill="1" applyBorder="1" applyAlignment="1">
      <alignment horizontal="center" wrapText="1"/>
    </xf>
    <xf numFmtId="37" fontId="27" fillId="5" borderId="0" xfId="16" applyNumberFormat="1" applyFont="1" applyFill="1"/>
    <xf numFmtId="0" fontId="27" fillId="5" borderId="0" xfId="16" applyFont="1" applyFill="1" applyAlignment="1">
      <alignment wrapText="1"/>
    </xf>
    <xf numFmtId="165" fontId="27" fillId="5" borderId="0" xfId="1" applyNumberFormat="1" applyFont="1" applyFill="1" applyProtection="1"/>
    <xf numFmtId="0" fontId="12" fillId="5" borderId="0" xfId="16" applyFill="1" applyAlignment="1">
      <alignment wrapText="1"/>
    </xf>
    <xf numFmtId="41" fontId="27" fillId="5" borderId="7" xfId="1" applyNumberFormat="1" applyFont="1" applyFill="1" applyBorder="1" applyAlignment="1" applyProtection="1">
      <alignment horizontal="right"/>
    </xf>
    <xf numFmtId="0" fontId="29" fillId="5" borderId="0" xfId="16" applyFont="1" applyFill="1" applyAlignment="1">
      <alignment wrapText="1"/>
    </xf>
    <xf numFmtId="42" fontId="27" fillId="5" borderId="8" xfId="1" applyNumberFormat="1" applyFont="1" applyFill="1" applyBorder="1" applyAlignment="1" applyProtection="1">
      <alignment horizontal="right"/>
    </xf>
    <xf numFmtId="165" fontId="30" fillId="5" borderId="0" xfId="1" applyNumberFormat="1" applyFont="1" applyFill="1" applyProtection="1"/>
    <xf numFmtId="0" fontId="42" fillId="5" borderId="0" xfId="16" applyFont="1" applyFill="1" applyAlignment="1">
      <alignment horizontal="right"/>
    </xf>
    <xf numFmtId="41" fontId="42" fillId="5" borderId="0" xfId="1" applyNumberFormat="1" applyFont="1" applyFill="1" applyBorder="1" applyAlignment="1" applyProtection="1">
      <alignment horizontal="right"/>
    </xf>
    <xf numFmtId="41" fontId="27" fillId="4" borderId="3" xfId="1" applyNumberFormat="1" applyFont="1" applyFill="1" applyBorder="1" applyAlignment="1" applyProtection="1">
      <alignment horizontal="right"/>
      <protection locked="0"/>
    </xf>
    <xf numFmtId="0" fontId="12" fillId="4" borderId="3" xfId="16" applyFill="1" applyBorder="1" applyAlignment="1" applyProtection="1">
      <alignment horizontal="left" wrapText="1"/>
      <protection locked="0"/>
    </xf>
    <xf numFmtId="0" fontId="32" fillId="5" borderId="3" xfId="0" applyFont="1" applyFill="1" applyBorder="1"/>
    <xf numFmtId="0" fontId="22" fillId="5" borderId="0" xfId="15" applyFont="1" applyFill="1"/>
    <xf numFmtId="0" fontId="22" fillId="5" borderId="0" xfId="0" applyFont="1" applyFill="1" applyAlignment="1">
      <alignment horizontal="left" vertical="top"/>
    </xf>
    <xf numFmtId="0" fontId="22" fillId="5" borderId="0" xfId="15" applyFont="1" applyFill="1" applyAlignment="1">
      <alignment horizontal="left" vertical="top" wrapText="1"/>
    </xf>
    <xf numFmtId="165" fontId="22" fillId="5" borderId="0" xfId="1" applyNumberFormat="1" applyFont="1" applyFill="1" applyBorder="1" applyProtection="1"/>
    <xf numFmtId="164" fontId="32" fillId="5" borderId="0" xfId="0" applyNumberFormat="1" applyFont="1" applyFill="1" applyAlignment="1">
      <alignment horizontal="left"/>
    </xf>
    <xf numFmtId="0" fontId="22" fillId="5" borderId="0" xfId="15" applyFont="1" applyFill="1" applyAlignment="1">
      <alignment vertical="center"/>
    </xf>
    <xf numFmtId="165" fontId="32" fillId="5" borderId="0" xfId="1" applyNumberFormat="1" applyFont="1" applyFill="1" applyAlignment="1" applyProtection="1">
      <alignment horizontal="centerContinuous" vertical="center"/>
    </xf>
    <xf numFmtId="165" fontId="32" fillId="5" borderId="0" xfId="1" applyNumberFormat="1" applyFont="1" applyFill="1" applyBorder="1" applyAlignment="1" applyProtection="1">
      <alignment horizontal="centerContinuous" vertical="center"/>
    </xf>
    <xf numFmtId="184" fontId="27" fillId="4" borderId="3" xfId="16" applyNumberFormat="1" applyFont="1" applyFill="1" applyBorder="1" applyAlignment="1" applyProtection="1">
      <alignment wrapText="1"/>
      <protection locked="0"/>
    </xf>
    <xf numFmtId="38" fontId="22" fillId="4" borderId="3" xfId="16" applyNumberFormat="1" applyFont="1" applyFill="1" applyBorder="1" applyAlignment="1" applyProtection="1">
      <alignment wrapText="1"/>
      <protection locked="0"/>
    </xf>
    <xf numFmtId="184" fontId="22" fillId="4" borderId="3" xfId="16" applyNumberFormat="1" applyFont="1" applyFill="1" applyBorder="1" applyAlignment="1" applyProtection="1">
      <alignment wrapText="1"/>
      <protection locked="0"/>
    </xf>
    <xf numFmtId="37" fontId="22" fillId="4" borderId="3" xfId="16" applyNumberFormat="1" applyFont="1" applyFill="1" applyBorder="1" applyAlignment="1" applyProtection="1">
      <alignment wrapText="1"/>
      <protection locked="0"/>
    </xf>
    <xf numFmtId="0" fontId="81" fillId="5" borderId="0" xfId="0" applyFont="1" applyFill="1"/>
    <xf numFmtId="0" fontId="22" fillId="5" borderId="0" xfId="0" applyFont="1" applyFill="1" applyAlignment="1">
      <alignment vertical="top" wrapText="1"/>
    </xf>
    <xf numFmtId="0" fontId="22" fillId="5" borderId="0" xfId="0" applyFont="1" applyFill="1" applyAlignment="1">
      <alignment horizontal="center" vertical="center"/>
    </xf>
    <xf numFmtId="0" fontId="22" fillId="5" borderId="3" xfId="0" applyFont="1" applyFill="1" applyBorder="1" applyAlignment="1">
      <alignment wrapText="1"/>
    </xf>
    <xf numFmtId="0" fontId="32" fillId="5" borderId="0" xfId="0" applyFont="1" applyFill="1" applyAlignment="1">
      <alignment vertical="top" wrapText="1"/>
    </xf>
    <xf numFmtId="0" fontId="22" fillId="5" borderId="3" xfId="0" applyFont="1" applyFill="1" applyBorder="1" applyAlignment="1">
      <alignment vertical="center" wrapText="1"/>
    </xf>
    <xf numFmtId="0" fontId="22" fillId="5" borderId="0" xfId="0" applyFont="1" applyFill="1" applyAlignment="1">
      <alignment horizontal="center" vertical="top" wrapText="1"/>
    </xf>
    <xf numFmtId="0" fontId="22" fillId="5" borderId="3" xfId="0" applyFont="1" applyFill="1" applyBorder="1" applyAlignment="1">
      <alignment vertical="top" wrapText="1"/>
    </xf>
    <xf numFmtId="0" fontId="22" fillId="5" borderId="3" xfId="0" applyFont="1" applyFill="1" applyBorder="1" applyAlignment="1">
      <alignment horizontal="center" vertical="top"/>
    </xf>
    <xf numFmtId="0" fontId="81" fillId="5" borderId="0" xfId="0" applyFont="1" applyFill="1" applyAlignment="1">
      <alignment vertical="top"/>
    </xf>
    <xf numFmtId="0" fontId="22" fillId="5" borderId="11" xfId="0" applyFont="1" applyFill="1" applyBorder="1"/>
    <xf numFmtId="0" fontId="22" fillId="5" borderId="12" xfId="0" applyFont="1" applyFill="1" applyBorder="1" applyAlignment="1">
      <alignment horizontal="right" vertical="top"/>
    </xf>
    <xf numFmtId="0" fontId="22" fillId="5" borderId="13" xfId="0" applyFont="1" applyFill="1" applyBorder="1" applyAlignment="1">
      <alignment horizontal="right" vertical="top"/>
    </xf>
    <xf numFmtId="0" fontId="22" fillId="5" borderId="3" xfId="0" applyFont="1" applyFill="1" applyBorder="1" applyAlignment="1">
      <alignment horizontal="right" vertical="top"/>
    </xf>
    <xf numFmtId="0" fontId="22" fillId="5" borderId="0" xfId="0" applyFont="1" applyFill="1" applyAlignment="1">
      <alignment horizontal="right" vertical="center" wrapText="1"/>
    </xf>
    <xf numFmtId="0" fontId="22" fillId="5" borderId="3" xfId="13" applyFont="1" applyFill="1" applyBorder="1" applyAlignment="1">
      <alignment horizontal="center" vertical="center" wrapText="1"/>
    </xf>
    <xf numFmtId="0" fontId="22" fillId="5" borderId="3" xfId="13" applyFont="1" applyFill="1" applyBorder="1" applyAlignment="1">
      <alignment vertical="top" wrapText="1"/>
    </xf>
    <xf numFmtId="41" fontId="22" fillId="5" borderId="3" xfId="0" applyNumberFormat="1" applyFont="1" applyFill="1" applyBorder="1" applyAlignment="1">
      <alignment horizontal="center"/>
    </xf>
    <xf numFmtId="41" fontId="22" fillId="5" borderId="0" xfId="0" applyNumberFormat="1" applyFont="1" applyFill="1" applyAlignment="1">
      <alignment horizontal="center"/>
    </xf>
    <xf numFmtId="42" fontId="22" fillId="5" borderId="8" xfId="1" applyNumberFormat="1" applyFont="1" applyFill="1" applyBorder="1" applyAlignment="1" applyProtection="1">
      <alignment horizontal="right"/>
    </xf>
    <xf numFmtId="41" fontId="22" fillId="5" borderId="0" xfId="1" applyNumberFormat="1" applyFont="1" applyFill="1" applyBorder="1" applyAlignment="1" applyProtection="1">
      <alignment horizontal="right"/>
    </xf>
    <xf numFmtId="41" fontId="66" fillId="5" borderId="0" xfId="0" applyNumberFormat="1" applyFont="1" applyFill="1" applyAlignment="1">
      <alignment vertical="top"/>
    </xf>
    <xf numFmtId="0" fontId="22" fillId="5" borderId="0" xfId="13" applyFont="1" applyFill="1" applyAlignment="1">
      <alignment vertical="top" wrapText="1"/>
    </xf>
    <xf numFmtId="0" fontId="22" fillId="5" borderId="0" xfId="17" applyFont="1" applyFill="1" applyAlignment="1">
      <alignment vertical="top" wrapText="1"/>
    </xf>
    <xf numFmtId="0" fontId="88" fillId="5" borderId="3" xfId="0" applyFont="1" applyFill="1" applyBorder="1" applyAlignment="1">
      <alignment horizontal="center" vertical="top"/>
    </xf>
    <xf numFmtId="0" fontId="88" fillId="5" borderId="0" xfId="0" applyFont="1" applyFill="1" applyAlignment="1">
      <alignment horizontal="center" vertical="center"/>
    </xf>
    <xf numFmtId="0" fontId="88" fillId="5" borderId="0" xfId="0" applyFont="1" applyFill="1" applyAlignment="1">
      <alignment horizontal="center" vertical="top"/>
    </xf>
    <xf numFmtId="0" fontId="88" fillId="5" borderId="0" xfId="13" applyFont="1" applyFill="1" applyAlignment="1">
      <alignment vertical="top" wrapText="1"/>
    </xf>
    <xf numFmtId="0" fontId="88" fillId="5" borderId="0" xfId="17" applyFont="1" applyFill="1" applyAlignment="1">
      <alignment vertical="top" wrapText="1"/>
    </xf>
    <xf numFmtId="0" fontId="88" fillId="5" borderId="3" xfId="17" applyFont="1" applyFill="1" applyBorder="1" applyAlignment="1">
      <alignment horizontal="center" vertical="top" wrapText="1"/>
    </xf>
    <xf numFmtId="0" fontId="22" fillId="5" borderId="0" xfId="17" applyFont="1" applyFill="1" applyAlignment="1">
      <alignment horizontal="left" vertical="top" wrapText="1"/>
    </xf>
    <xf numFmtId="0" fontId="17" fillId="5" borderId="0" xfId="0" applyFont="1" applyFill="1" applyAlignment="1">
      <alignment vertical="top"/>
    </xf>
    <xf numFmtId="0" fontId="17" fillId="5" borderId="0" xfId="0" applyFont="1" applyFill="1" applyAlignment="1">
      <alignment vertical="top" wrapText="1"/>
    </xf>
    <xf numFmtId="0" fontId="32" fillId="5" borderId="0" xfId="35" applyFont="1" applyFill="1"/>
    <xf numFmtId="0" fontId="32" fillId="5" borderId="17" xfId="35" applyFont="1" applyFill="1" applyBorder="1" applyAlignment="1">
      <alignment horizontal="left" wrapText="1"/>
    </xf>
    <xf numFmtId="0" fontId="32" fillId="5" borderId="6" xfId="35" applyFont="1" applyFill="1" applyBorder="1" applyAlignment="1">
      <alignment horizontal="left" wrapText="1"/>
    </xf>
    <xf numFmtId="0" fontId="32" fillId="5" borderId="18" xfId="35" applyFont="1" applyFill="1" applyBorder="1" applyAlignment="1">
      <alignment horizontal="left" wrapText="1"/>
    </xf>
    <xf numFmtId="0" fontId="88" fillId="5" borderId="11" xfId="0" applyFont="1" applyFill="1" applyBorder="1" applyAlignment="1">
      <alignment horizontal="center" vertical="top"/>
    </xf>
    <xf numFmtId="0" fontId="88" fillId="5" borderId="3" xfId="0" applyFont="1" applyFill="1" applyBorder="1" applyAlignment="1">
      <alignment vertical="top" wrapText="1"/>
    </xf>
    <xf numFmtId="0" fontId="88" fillId="5" borderId="0" xfId="0" applyFont="1" applyFill="1" applyAlignment="1">
      <alignment vertical="top"/>
    </xf>
    <xf numFmtId="0" fontId="89" fillId="5" borderId="0" xfId="13" applyFont="1" applyFill="1" applyAlignment="1">
      <alignment vertical="top" wrapText="1"/>
    </xf>
    <xf numFmtId="0" fontId="47" fillId="5" borderId="0" xfId="35" applyFont="1" applyFill="1"/>
    <xf numFmtId="0" fontId="9" fillId="5" borderId="0" xfId="35" applyFill="1"/>
    <xf numFmtId="0" fontId="88" fillId="2" borderId="3" xfId="13" applyFont="1" applyFill="1" applyBorder="1" applyAlignment="1">
      <alignment vertical="top" wrapText="1"/>
    </xf>
    <xf numFmtId="0" fontId="20" fillId="5" borderId="3" xfId="0" applyFont="1" applyFill="1" applyBorder="1" applyAlignment="1">
      <alignment horizontal="left"/>
    </xf>
    <xf numFmtId="0" fontId="22" fillId="5" borderId="3" xfId="0" applyFont="1" applyFill="1" applyBorder="1" applyAlignment="1">
      <alignment horizontal="center" wrapText="1"/>
    </xf>
    <xf numFmtId="41" fontId="22" fillId="2" borderId="3" xfId="13" applyNumberFormat="1" applyFont="1" applyFill="1" applyBorder="1" applyProtection="1">
      <protection locked="0"/>
    </xf>
    <xf numFmtId="0" fontId="22" fillId="4"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181" fontId="22" fillId="4" borderId="3" xfId="0" applyNumberFormat="1" applyFont="1" applyFill="1" applyBorder="1" applyProtection="1">
      <protection locked="0"/>
    </xf>
    <xf numFmtId="181" fontId="22" fillId="4" borderId="3" xfId="0" applyNumberFormat="1" applyFont="1" applyFill="1" applyBorder="1" applyAlignment="1" applyProtection="1">
      <alignment horizontal="center"/>
      <protection locked="0"/>
    </xf>
    <xf numFmtId="41" fontId="22" fillId="4" borderId="3" xfId="1" applyNumberFormat="1" applyFont="1" applyFill="1" applyBorder="1" applyAlignment="1" applyProtection="1">
      <alignment wrapText="1"/>
      <protection locked="0"/>
    </xf>
    <xf numFmtId="0" fontId="22" fillId="5" borderId="15" xfId="0" applyFont="1" applyFill="1" applyBorder="1" applyAlignment="1">
      <alignment wrapText="1"/>
    </xf>
    <xf numFmtId="0" fontId="88" fillId="5" borderId="0" xfId="0" applyFont="1" applyFill="1"/>
    <xf numFmtId="0" fontId="89" fillId="5" borderId="0" xfId="17" applyFont="1" applyFill="1" applyAlignment="1">
      <alignment vertical="top" wrapText="1"/>
    </xf>
    <xf numFmtId="0" fontId="91" fillId="5" borderId="0" xfId="0" applyFont="1" applyFill="1"/>
    <xf numFmtId="0" fontId="94" fillId="5" borderId="0" xfId="13" applyFont="1" applyFill="1" applyAlignment="1">
      <alignment vertical="top" wrapText="1"/>
    </xf>
    <xf numFmtId="0" fontId="95" fillId="5" borderId="0" xfId="13" applyFont="1" applyFill="1" applyAlignment="1">
      <alignment vertical="top" wrapText="1"/>
    </xf>
    <xf numFmtId="0" fontId="22" fillId="5" borderId="0" xfId="13" applyFont="1" applyFill="1" applyAlignment="1">
      <alignment horizontal="center" vertical="top" wrapText="1"/>
    </xf>
    <xf numFmtId="0" fontId="22" fillId="5" borderId="0" xfId="13" applyFont="1" applyFill="1" applyAlignment="1">
      <alignment horizontal="center" wrapText="1"/>
    </xf>
    <xf numFmtId="0" fontId="22" fillId="5" borderId="0" xfId="36" applyFont="1" applyFill="1" applyAlignment="1">
      <alignment horizontal="center" vertical="center"/>
    </xf>
    <xf numFmtId="0" fontId="99" fillId="5" borderId="3" xfId="35" applyFont="1" applyFill="1" applyBorder="1" applyAlignment="1">
      <alignment horizontal="center" vertical="center"/>
    </xf>
    <xf numFmtId="0" fontId="88" fillId="5" borderId="3" xfId="13" applyFont="1" applyFill="1" applyBorder="1" applyAlignment="1">
      <alignment horizontal="center" vertical="center" wrapText="1"/>
    </xf>
    <xf numFmtId="0" fontId="88" fillId="5" borderId="0" xfId="13" applyFont="1" applyFill="1" applyAlignment="1">
      <alignment horizontal="center" vertical="top" wrapText="1"/>
    </xf>
    <xf numFmtId="0" fontId="88" fillId="5" borderId="0" xfId="13" applyFont="1" applyFill="1" applyAlignment="1">
      <alignment horizontal="center" wrapText="1"/>
    </xf>
    <xf numFmtId="0" fontId="88" fillId="5" borderId="0" xfId="36" applyFont="1" applyFill="1" applyAlignment="1">
      <alignment horizontal="center" vertical="center"/>
    </xf>
    <xf numFmtId="0" fontId="22" fillId="5" borderId="0" xfId="35" applyFont="1" applyFill="1" applyAlignment="1">
      <alignment horizontal="center" vertical="center"/>
    </xf>
    <xf numFmtId="0" fontId="22" fillId="5" borderId="0" xfId="36" applyFont="1" applyFill="1" applyAlignment="1">
      <alignment horizontal="right" vertical="top"/>
    </xf>
    <xf numFmtId="3" fontId="22" fillId="5" borderId="14" xfId="13" applyNumberFormat="1" applyFont="1" applyFill="1" applyBorder="1" applyAlignment="1">
      <alignment vertical="top" wrapText="1"/>
    </xf>
    <xf numFmtId="0" fontId="22" fillId="5" borderId="9" xfId="13" applyFont="1" applyFill="1" applyBorder="1" applyAlignment="1">
      <alignment vertical="top" wrapText="1"/>
    </xf>
    <xf numFmtId="0" fontId="84" fillId="5" borderId="25" xfId="13" applyFont="1" applyFill="1" applyBorder="1" applyAlignment="1">
      <alignment vertical="top" wrapText="1"/>
    </xf>
    <xf numFmtId="0" fontId="22" fillId="5" borderId="6" xfId="13" applyFont="1" applyFill="1" applyBorder="1" applyAlignment="1">
      <alignment vertical="top" wrapText="1"/>
    </xf>
    <xf numFmtId="0" fontId="84" fillId="5" borderId="18" xfId="13" applyFont="1" applyFill="1" applyBorder="1" applyAlignment="1">
      <alignment vertical="top" wrapText="1"/>
    </xf>
    <xf numFmtId="3" fontId="22" fillId="5" borderId="18" xfId="13" applyNumberFormat="1" applyFont="1" applyFill="1" applyBorder="1" applyAlignment="1">
      <alignment vertical="top" wrapText="1"/>
    </xf>
    <xf numFmtId="3" fontId="22" fillId="5" borderId="25" xfId="13" applyNumberFormat="1" applyFont="1" applyFill="1" applyBorder="1" applyAlignment="1">
      <alignment vertical="top" wrapText="1"/>
    </xf>
    <xf numFmtId="0" fontId="22" fillId="5" borderId="24" xfId="35" applyFont="1" applyFill="1" applyBorder="1" applyAlignment="1">
      <alignment horizontal="center" vertical="center"/>
    </xf>
    <xf numFmtId="0" fontId="22" fillId="5" borderId="15" xfId="13" applyFont="1" applyFill="1" applyBorder="1" applyAlignment="1">
      <alignment horizontal="center" vertical="top" wrapText="1"/>
    </xf>
    <xf numFmtId="0" fontId="82" fillId="5" borderId="0" xfId="35" applyFont="1" applyFill="1" applyAlignment="1">
      <alignment horizontal="right" vertical="top" wrapText="1"/>
    </xf>
    <xf numFmtId="41" fontId="82" fillId="5" borderId="0" xfId="13" applyNumberFormat="1" applyFont="1" applyFill="1" applyAlignment="1">
      <alignment horizontal="center" wrapText="1"/>
    </xf>
    <xf numFmtId="0" fontId="22" fillId="5" borderId="0" xfId="35" applyFont="1" applyFill="1" applyAlignment="1">
      <alignment horizontal="center" vertical="top" wrapText="1"/>
    </xf>
    <xf numFmtId="41" fontId="22" fillId="5" borderId="0" xfId="13" applyNumberFormat="1" applyFont="1" applyFill="1" applyAlignment="1">
      <alignment horizontal="center" wrapText="1"/>
    </xf>
    <xf numFmtId="0" fontId="22" fillId="5" borderId="6" xfId="35" applyFont="1" applyFill="1" applyBorder="1" applyAlignment="1">
      <alignment horizontal="center" vertical="top" wrapText="1"/>
    </xf>
    <xf numFmtId="41" fontId="22" fillId="5" borderId="6" xfId="13" applyNumberFormat="1" applyFont="1" applyFill="1" applyBorder="1" applyAlignment="1">
      <alignment horizontal="center" wrapText="1"/>
    </xf>
    <xf numFmtId="0" fontId="82" fillId="5" borderId="9" xfId="35" applyFont="1" applyFill="1" applyBorder="1" applyAlignment="1">
      <alignment horizontal="right" vertical="top" wrapText="1"/>
    </xf>
    <xf numFmtId="41" fontId="82" fillId="5" borderId="9" xfId="13" applyNumberFormat="1" applyFont="1" applyFill="1" applyBorder="1" applyAlignment="1">
      <alignment horizontal="center" wrapText="1"/>
    </xf>
    <xf numFmtId="165" fontId="27" fillId="5" borderId="0" xfId="1" applyNumberFormat="1" applyFont="1" applyFill="1" applyBorder="1" applyProtection="1"/>
    <xf numFmtId="165" fontId="29" fillId="5" borderId="0" xfId="1" applyNumberFormat="1" applyFont="1" applyFill="1" applyAlignment="1" applyProtection="1">
      <alignment horizontal="centerContinuous" vertical="center"/>
    </xf>
    <xf numFmtId="38" fontId="12" fillId="4" borderId="3" xfId="16" applyNumberFormat="1" applyFill="1" applyBorder="1" applyAlignment="1" applyProtection="1">
      <alignment wrapText="1"/>
      <protection locked="0"/>
    </xf>
    <xf numFmtId="185" fontId="27" fillId="4" borderId="3" xfId="16" applyNumberFormat="1" applyFont="1" applyFill="1" applyBorder="1" applyAlignment="1" applyProtection="1">
      <alignment wrapText="1"/>
      <protection locked="0"/>
    </xf>
    <xf numFmtId="38" fontId="27" fillId="4" borderId="3" xfId="16" applyNumberFormat="1" applyFont="1" applyFill="1" applyBorder="1" applyAlignment="1" applyProtection="1">
      <alignment wrapText="1"/>
      <protection locked="0"/>
    </xf>
    <xf numFmtId="37" fontId="27" fillId="4" borderId="3" xfId="16" applyNumberFormat="1" applyFont="1" applyFill="1" applyBorder="1" applyAlignment="1" applyProtection="1">
      <alignment wrapText="1"/>
      <protection locked="0"/>
    </xf>
    <xf numFmtId="165" fontId="22" fillId="5" borderId="0" xfId="1" applyNumberFormat="1" applyFont="1" applyFill="1" applyProtection="1"/>
    <xf numFmtId="165" fontId="22" fillId="5" borderId="9" xfId="1" applyNumberFormat="1" applyFont="1" applyFill="1" applyBorder="1" applyProtection="1"/>
    <xf numFmtId="41" fontId="22" fillId="5" borderId="8" xfId="1" applyNumberFormat="1" applyFont="1" applyFill="1" applyBorder="1" applyProtection="1"/>
    <xf numFmtId="165" fontId="38" fillId="5" borderId="0" xfId="1" applyNumberFormat="1" applyFont="1" applyFill="1" applyProtection="1"/>
    <xf numFmtId="9" fontId="21" fillId="5" borderId="3" xfId="31" quotePrefix="1" applyFont="1" applyFill="1" applyBorder="1" applyAlignment="1" applyProtection="1">
      <alignment horizontal="right"/>
    </xf>
    <xf numFmtId="9" fontId="21" fillId="5" borderId="0" xfId="31" applyFont="1" applyFill="1" applyBorder="1" applyAlignment="1" applyProtection="1">
      <alignment horizontal="right"/>
    </xf>
    <xf numFmtId="165" fontId="21" fillId="5" borderId="0" xfId="1" applyNumberFormat="1" applyFont="1" applyFill="1" applyAlignment="1" applyProtection="1">
      <alignment horizontal="right"/>
    </xf>
    <xf numFmtId="165" fontId="21" fillId="5" borderId="0" xfId="1" applyNumberFormat="1" applyFont="1" applyFill="1" applyBorder="1" applyAlignment="1" applyProtection="1">
      <alignment horizontal="right"/>
    </xf>
    <xf numFmtId="9" fontId="21" fillId="5" borderId="0" xfId="31" quotePrefix="1" applyFont="1" applyFill="1" applyBorder="1" applyAlignment="1" applyProtection="1">
      <alignment horizontal="right"/>
    </xf>
    <xf numFmtId="9" fontId="21" fillId="5" borderId="3" xfId="31" applyFont="1" applyFill="1" applyBorder="1" applyAlignment="1" applyProtection="1">
      <alignment horizontal="right"/>
    </xf>
    <xf numFmtId="165" fontId="21" fillId="4" borderId="3" xfId="1" applyNumberFormat="1" applyFont="1" applyFill="1" applyBorder="1" applyAlignment="1" applyProtection="1">
      <alignment wrapText="1"/>
      <protection locked="0"/>
    </xf>
    <xf numFmtId="49" fontId="83" fillId="5" borderId="3" xfId="0" applyNumberFormat="1" applyFont="1" applyFill="1" applyBorder="1" applyAlignment="1">
      <alignment wrapText="1"/>
    </xf>
    <xf numFmtId="0" fontId="22" fillId="4" borderId="3" xfId="0" applyFont="1" applyFill="1" applyBorder="1" applyAlignment="1">
      <alignment horizontal="center"/>
    </xf>
    <xf numFmtId="0" fontId="103" fillId="5" borderId="0" xfId="124" applyFont="1" applyFill="1"/>
    <xf numFmtId="0" fontId="103" fillId="5" borderId="0" xfId="168" applyFont="1" applyFill="1"/>
    <xf numFmtId="0" fontId="81" fillId="5" borderId="0" xfId="98" applyFont="1" applyFill="1"/>
    <xf numFmtId="0" fontId="51" fillId="5" borderId="11" xfId="98" applyFont="1" applyFill="1" applyBorder="1" applyAlignment="1">
      <alignment horizontal="left"/>
    </xf>
    <xf numFmtId="0" fontId="51" fillId="5" borderId="7" xfId="98" applyFont="1" applyFill="1" applyBorder="1"/>
    <xf numFmtId="0" fontId="81" fillId="5" borderId="0" xfId="98" applyFont="1" applyFill="1" applyAlignment="1">
      <alignment horizontal="left"/>
    </xf>
    <xf numFmtId="37" fontId="81" fillId="5" borderId="0" xfId="98" applyNumberFormat="1" applyFont="1" applyFill="1"/>
    <xf numFmtId="37" fontId="51" fillId="5" borderId="0" xfId="98" applyNumberFormat="1" applyFont="1" applyFill="1"/>
    <xf numFmtId="0" fontId="51" fillId="5" borderId="0" xfId="98" applyFont="1" applyFill="1" applyAlignment="1">
      <alignment horizontal="center"/>
    </xf>
    <xf numFmtId="0" fontId="105" fillId="5" borderId="17" xfId="168" applyFont="1" applyFill="1" applyBorder="1" applyAlignment="1">
      <alignment horizontal="centerContinuous"/>
    </xf>
    <xf numFmtId="0" fontId="105" fillId="5" borderId="6" xfId="168" applyFont="1" applyFill="1" applyBorder="1" applyAlignment="1">
      <alignment horizontal="centerContinuous"/>
    </xf>
    <xf numFmtId="0" fontId="106" fillId="5" borderId="15" xfId="98" applyFont="1" applyFill="1" applyBorder="1" applyAlignment="1">
      <alignment horizontal="center"/>
    </xf>
    <xf numFmtId="0" fontId="106" fillId="5" borderId="23" xfId="98" applyFont="1" applyFill="1" applyBorder="1" applyAlignment="1">
      <alignment horizontal="center"/>
    </xf>
    <xf numFmtId="0" fontId="106" fillId="5" borderId="0" xfId="98" applyFont="1" applyFill="1" applyAlignment="1">
      <alignment horizontal="center"/>
    </xf>
    <xf numFmtId="0" fontId="81" fillId="5" borderId="24" xfId="98" applyFont="1" applyFill="1" applyBorder="1"/>
    <xf numFmtId="0" fontId="81" fillId="5" borderId="9" xfId="98" applyFont="1" applyFill="1" applyBorder="1"/>
    <xf numFmtId="0" fontId="81" fillId="5" borderId="25" xfId="98" applyFont="1" applyFill="1" applyBorder="1"/>
    <xf numFmtId="0" fontId="81" fillId="5" borderId="4" xfId="98" applyFont="1" applyFill="1" applyBorder="1"/>
    <xf numFmtId="0" fontId="81" fillId="5" borderId="18" xfId="98" applyFont="1" applyFill="1" applyBorder="1"/>
    <xf numFmtId="0" fontId="107" fillId="5" borderId="0" xfId="44" applyFont="1" applyFill="1" applyAlignment="1">
      <alignment horizontal="center" wrapText="1"/>
    </xf>
    <xf numFmtId="0" fontId="51" fillId="5" borderId="7" xfId="35" applyFont="1" applyFill="1" applyBorder="1"/>
    <xf numFmtId="0" fontId="51" fillId="5" borderId="12" xfId="35" applyFont="1" applyFill="1" applyBorder="1"/>
    <xf numFmtId="0" fontId="51" fillId="5" borderId="3" xfId="98" applyFont="1" applyFill="1" applyBorder="1" applyAlignment="1">
      <alignment horizontal="center" wrapText="1"/>
    </xf>
    <xf numFmtId="49" fontId="51" fillId="5" borderId="17" xfId="98" applyNumberFormat="1" applyFont="1" applyFill="1" applyBorder="1" applyAlignment="1">
      <alignment horizontal="center" wrapText="1"/>
    </xf>
    <xf numFmtId="49" fontId="51" fillId="5" borderId="13" xfId="98" applyNumberFormat="1" applyFont="1" applyFill="1" applyBorder="1" applyAlignment="1">
      <alignment horizontal="center" wrapText="1"/>
    </xf>
    <xf numFmtId="0" fontId="51" fillId="5" borderId="3" xfId="98" applyFont="1" applyFill="1" applyBorder="1" applyAlignment="1">
      <alignment horizontal="center"/>
    </xf>
    <xf numFmtId="0" fontId="51" fillId="5" borderId="13" xfId="98" applyFont="1" applyFill="1" applyBorder="1" applyAlignment="1">
      <alignment horizontal="center"/>
    </xf>
    <xf numFmtId="0" fontId="51" fillId="5" borderId="17" xfId="98" applyFont="1" applyFill="1" applyBorder="1" applyAlignment="1">
      <alignment horizontal="center"/>
    </xf>
    <xf numFmtId="0" fontId="108" fillId="5" borderId="18" xfId="98" applyFont="1" applyFill="1" applyBorder="1" applyAlignment="1">
      <alignment horizontal="center" wrapText="1"/>
    </xf>
    <xf numFmtId="0" fontId="51" fillId="5" borderId="13" xfId="98" applyFont="1" applyFill="1" applyBorder="1" applyAlignment="1">
      <alignment horizontal="center" wrapText="1"/>
    </xf>
    <xf numFmtId="0" fontId="51" fillId="5" borderId="3" xfId="84" applyFont="1" applyFill="1" applyBorder="1" applyAlignment="1">
      <alignment horizontal="center" wrapText="1"/>
    </xf>
    <xf numFmtId="0" fontId="108" fillId="5" borderId="6" xfId="44" applyFont="1" applyFill="1" applyBorder="1" applyAlignment="1">
      <alignment horizontal="center" wrapText="1"/>
    </xf>
    <xf numFmtId="0" fontId="51" fillId="5" borderId="6" xfId="98" applyFont="1" applyFill="1" applyBorder="1" applyAlignment="1">
      <alignment horizontal="center"/>
    </xf>
    <xf numFmtId="41" fontId="81" fillId="5" borderId="0" xfId="99" quotePrefix="1" applyNumberFormat="1" applyFont="1" applyFill="1" applyProtection="1"/>
    <xf numFmtId="41" fontId="104" fillId="5" borderId="0" xfId="98" applyNumberFormat="1" applyFont="1" applyFill="1"/>
    <xf numFmtId="0" fontId="81" fillId="5" borderId="0" xfId="99" quotePrefix="1" applyNumberFormat="1" applyFont="1" applyFill="1" applyBorder="1" applyProtection="1"/>
    <xf numFmtId="0" fontId="104" fillId="5" borderId="0" xfId="98" applyFont="1" applyFill="1"/>
    <xf numFmtId="41" fontId="81" fillId="5" borderId="0" xfId="99" applyNumberFormat="1" applyFont="1" applyFill="1" applyProtection="1"/>
    <xf numFmtId="41" fontId="109" fillId="5" borderId="0" xfId="98" applyNumberFormat="1" applyFont="1" applyFill="1"/>
    <xf numFmtId="41" fontId="81" fillId="5" borderId="0" xfId="98" applyNumberFormat="1" applyFont="1" applyFill="1"/>
    <xf numFmtId="0" fontId="104" fillId="5" borderId="0" xfId="168" applyFont="1" applyFill="1" applyAlignment="1">
      <alignment horizontal="center"/>
    </xf>
    <xf numFmtId="0" fontId="81" fillId="5" borderId="7" xfId="98" applyFont="1" applyFill="1" applyBorder="1"/>
    <xf numFmtId="0" fontId="81" fillId="5" borderId="7" xfId="43" applyFont="1" applyFill="1" applyBorder="1"/>
    <xf numFmtId="0" fontId="81" fillId="5" borderId="6" xfId="98" applyFont="1" applyFill="1" applyBorder="1" applyAlignment="1">
      <alignment wrapText="1"/>
    </xf>
    <xf numFmtId="0" fontId="81" fillId="5" borderId="6" xfId="169" applyNumberFormat="1" applyFont="1" applyFill="1" applyBorder="1" applyAlignment="1" applyProtection="1">
      <alignment horizontal="right"/>
    </xf>
    <xf numFmtId="0" fontId="81" fillId="5" borderId="3" xfId="98" applyFont="1" applyFill="1" applyBorder="1"/>
    <xf numFmtId="0" fontId="81" fillId="5" borderId="0" xfId="98" applyFont="1" applyFill="1" applyAlignment="1">
      <alignment wrapText="1"/>
    </xf>
    <xf numFmtId="49" fontId="81" fillId="5" borderId="0" xfId="98" applyNumberFormat="1" applyFont="1" applyFill="1" applyAlignment="1">
      <alignment wrapText="1"/>
    </xf>
    <xf numFmtId="41" fontId="81" fillId="5" borderId="15" xfId="98" applyNumberFormat="1" applyFont="1" applyFill="1" applyBorder="1" applyAlignment="1">
      <alignment wrapText="1"/>
    </xf>
    <xf numFmtId="41" fontId="81" fillId="5" borderId="0" xfId="98" applyNumberFormat="1" applyFont="1" applyFill="1" applyAlignment="1">
      <alignment wrapText="1"/>
    </xf>
    <xf numFmtId="41" fontId="81" fillId="5" borderId="14" xfId="98" applyNumberFormat="1" applyFont="1" applyFill="1" applyBorder="1" applyAlignment="1">
      <alignment wrapText="1"/>
    </xf>
    <xf numFmtId="41" fontId="81" fillId="5" borderId="0" xfId="43" applyNumberFormat="1" applyFont="1" applyFill="1"/>
    <xf numFmtId="41" fontId="27" fillId="5" borderId="3" xfId="1" applyNumberFormat="1" applyFont="1" applyFill="1" applyBorder="1" applyAlignment="1" applyProtection="1">
      <alignment horizontal="right"/>
    </xf>
    <xf numFmtId="0" fontId="22" fillId="2" borderId="3" xfId="0" applyFont="1" applyFill="1" applyBorder="1" applyAlignment="1">
      <alignment horizontal="left" vertical="center" wrapText="1"/>
    </xf>
    <xf numFmtId="0" fontId="88" fillId="5" borderId="3" xfId="0" applyFont="1" applyFill="1" applyBorder="1" applyAlignment="1">
      <alignment horizontal="center" vertical="center"/>
    </xf>
    <xf numFmtId="0" fontId="88" fillId="2" borderId="3" xfId="0" applyFont="1" applyFill="1" applyBorder="1" applyAlignment="1">
      <alignment horizontal="left" vertical="center" wrapText="1"/>
    </xf>
    <xf numFmtId="0" fontId="88" fillId="2" borderId="13" xfId="17" applyFont="1" applyFill="1" applyBorder="1" applyAlignment="1">
      <alignment wrapText="1"/>
    </xf>
    <xf numFmtId="41" fontId="88" fillId="2" borderId="3" xfId="17" applyNumberFormat="1" applyFont="1" applyFill="1" applyBorder="1" applyAlignment="1">
      <alignment vertical="top" wrapText="1"/>
    </xf>
    <xf numFmtId="0" fontId="88" fillId="2" borderId="3" xfId="17" applyFont="1" applyFill="1" applyBorder="1" applyAlignment="1">
      <alignment wrapText="1"/>
    </xf>
    <xf numFmtId="0" fontId="22" fillId="2" borderId="3" xfId="35" applyFont="1" applyFill="1" applyBorder="1" applyAlignment="1">
      <alignment horizontal="center" vertical="center"/>
    </xf>
    <xf numFmtId="42" fontId="22" fillId="2" borderId="3" xfId="0" applyNumberFormat="1" applyFont="1" applyFill="1" applyBorder="1" applyAlignment="1">
      <alignment vertical="center"/>
    </xf>
    <xf numFmtId="0" fontId="88" fillId="2" borderId="3" xfId="35" applyFont="1" applyFill="1" applyBorder="1" applyAlignment="1">
      <alignment horizontal="center" vertical="center"/>
    </xf>
    <xf numFmtId="0" fontId="88" fillId="2" borderId="3" xfId="0" applyFont="1" applyFill="1" applyBorder="1" applyAlignment="1">
      <alignment horizontal="center" vertical="center"/>
    </xf>
    <xf numFmtId="0" fontId="88" fillId="5" borderId="3" xfId="0" applyFont="1" applyFill="1" applyBorder="1" applyAlignment="1">
      <alignment horizontal="left" vertical="center" wrapText="1"/>
    </xf>
    <xf numFmtId="0" fontId="88" fillId="4" borderId="3" xfId="0" applyFont="1" applyFill="1" applyBorder="1" applyAlignment="1">
      <alignment horizontal="center" vertical="center"/>
    </xf>
    <xf numFmtId="37" fontId="88" fillId="2" borderId="3" xfId="13" applyNumberFormat="1" applyFont="1" applyFill="1" applyBorder="1" applyAlignment="1">
      <alignment vertical="top"/>
    </xf>
    <xf numFmtId="0" fontId="88" fillId="4" borderId="4" xfId="35" applyFont="1" applyFill="1" applyBorder="1" applyAlignment="1">
      <alignment horizontal="center" vertical="center"/>
    </xf>
    <xf numFmtId="0" fontId="88" fillId="2" borderId="4" xfId="0" applyFont="1" applyFill="1" applyBorder="1" applyAlignment="1">
      <alignment horizontal="left" vertical="center" wrapText="1"/>
    </xf>
    <xf numFmtId="0" fontId="22" fillId="5" borderId="3" xfId="13" applyFont="1" applyFill="1" applyBorder="1" applyAlignment="1">
      <alignment horizontal="left" vertical="top" wrapText="1"/>
    </xf>
    <xf numFmtId="41" fontId="53" fillId="4" borderId="3" xfId="1" applyNumberFormat="1" applyFont="1" applyFill="1" applyBorder="1" applyProtection="1">
      <protection locked="0"/>
    </xf>
    <xf numFmtId="0" fontId="22" fillId="4" borderId="3" xfId="0" applyFont="1" applyFill="1" applyBorder="1" applyAlignment="1" applyProtection="1">
      <alignment horizontal="left" wrapText="1"/>
      <protection locked="0"/>
    </xf>
    <xf numFmtId="0" fontId="22" fillId="4" borderId="13" xfId="0" applyFont="1" applyFill="1" applyBorder="1" applyAlignment="1" applyProtection="1">
      <alignment horizontal="center" wrapText="1"/>
      <protection locked="0"/>
    </xf>
    <xf numFmtId="0" fontId="22" fillId="4" borderId="13" xfId="0" applyFont="1" applyFill="1" applyBorder="1" applyAlignment="1" applyProtection="1">
      <alignment wrapText="1"/>
      <protection locked="0"/>
    </xf>
    <xf numFmtId="0" fontId="22" fillId="4" borderId="13" xfId="0" applyFont="1" applyFill="1" applyBorder="1" applyProtection="1">
      <protection locked="0"/>
    </xf>
    <xf numFmtId="41" fontId="53" fillId="4" borderId="13" xfId="1" applyNumberFormat="1" applyFont="1" applyFill="1" applyBorder="1" applyProtection="1">
      <protection locked="0"/>
    </xf>
    <xf numFmtId="0" fontId="81" fillId="4" borderId="13" xfId="0" applyFont="1" applyFill="1" applyBorder="1" applyProtection="1">
      <protection locked="0"/>
    </xf>
    <xf numFmtId="0" fontId="81" fillId="4" borderId="13" xfId="0" applyFont="1" applyFill="1" applyBorder="1" applyAlignment="1" applyProtection="1">
      <alignment wrapText="1"/>
      <protection locked="0"/>
    </xf>
    <xf numFmtId="0" fontId="81" fillId="4" borderId="3" xfId="0" applyFont="1" applyFill="1" applyBorder="1" applyProtection="1">
      <protection locked="0"/>
    </xf>
    <xf numFmtId="0" fontId="81" fillId="4" borderId="3" xfId="0" applyFont="1" applyFill="1" applyBorder="1" applyAlignment="1" applyProtection="1">
      <alignment wrapText="1"/>
      <protection locked="0"/>
    </xf>
    <xf numFmtId="0" fontId="81" fillId="4" borderId="13" xfId="0" applyFont="1" applyFill="1" applyBorder="1" applyAlignment="1" applyProtection="1">
      <alignment horizontal="center"/>
      <protection locked="0"/>
    </xf>
    <xf numFmtId="0" fontId="81" fillId="4" borderId="3" xfId="0" applyFont="1" applyFill="1" applyBorder="1" applyAlignment="1" applyProtection="1">
      <alignment horizontal="center"/>
      <protection locked="0"/>
    </xf>
    <xf numFmtId="41" fontId="81" fillId="4" borderId="13" xfId="1" applyNumberFormat="1" applyFont="1" applyFill="1" applyBorder="1" applyAlignment="1" applyProtection="1">
      <alignment vertical="top"/>
      <protection locked="0"/>
    </xf>
    <xf numFmtId="41" fontId="81" fillId="4" borderId="3" xfId="1" applyNumberFormat="1" applyFont="1" applyFill="1" applyBorder="1" applyAlignment="1" applyProtection="1">
      <alignment vertical="top"/>
      <protection locked="0"/>
    </xf>
    <xf numFmtId="0" fontId="81" fillId="0" borderId="0" xfId="0" applyFont="1"/>
    <xf numFmtId="41" fontId="81" fillId="0" borderId="15" xfId="98" applyNumberFormat="1" applyFont="1" applyBorder="1"/>
    <xf numFmtId="165" fontId="100" fillId="5" borderId="0" xfId="1" applyNumberFormat="1" applyFont="1" applyFill="1" applyBorder="1" applyProtection="1"/>
    <xf numFmtId="165" fontId="100" fillId="5" borderId="3" xfId="1" applyNumberFormat="1" applyFont="1" applyFill="1" applyBorder="1" applyProtection="1"/>
    <xf numFmtId="9" fontId="100" fillId="5" borderId="3" xfId="31" quotePrefix="1" applyFont="1" applyFill="1" applyBorder="1" applyAlignment="1" applyProtection="1">
      <alignment horizontal="right"/>
    </xf>
    <xf numFmtId="165" fontId="100" fillId="5" borderId="0" xfId="1" applyNumberFormat="1" applyFont="1" applyFill="1" applyBorder="1" applyAlignment="1" applyProtection="1">
      <alignment wrapText="1"/>
    </xf>
    <xf numFmtId="9" fontId="100" fillId="5" borderId="0" xfId="31" applyFont="1" applyFill="1" applyBorder="1" applyAlignment="1" applyProtection="1">
      <alignment horizontal="right"/>
    </xf>
    <xf numFmtId="165" fontId="100" fillId="5" borderId="21" xfId="1" applyNumberFormat="1" applyFont="1" applyFill="1" applyBorder="1" applyProtection="1"/>
    <xf numFmtId="165" fontId="100" fillId="5" borderId="0" xfId="1" applyNumberFormat="1" applyFont="1" applyFill="1" applyBorder="1" applyAlignment="1" applyProtection="1">
      <alignment horizontal="right"/>
    </xf>
    <xf numFmtId="41" fontId="100" fillId="5" borderId="0" xfId="1" applyNumberFormat="1" applyFont="1" applyFill="1" applyBorder="1" applyProtection="1"/>
    <xf numFmtId="165" fontId="100" fillId="5" borderId="0" xfId="1" applyNumberFormat="1" applyFont="1" applyFill="1" applyProtection="1"/>
    <xf numFmtId="165" fontId="100" fillId="5" borderId="0" xfId="1" applyNumberFormat="1" applyFont="1" applyFill="1" applyAlignment="1" applyProtection="1">
      <alignment horizontal="right"/>
    </xf>
    <xf numFmtId="41" fontId="100" fillId="5" borderId="5" xfId="1" applyNumberFormat="1" applyFont="1" applyFill="1" applyBorder="1" applyProtection="1"/>
    <xf numFmtId="165" fontId="100" fillId="5" borderId="5" xfId="1" applyNumberFormat="1" applyFont="1" applyFill="1" applyBorder="1" applyProtection="1"/>
    <xf numFmtId="165" fontId="114" fillId="5" borderId="21" xfId="1" applyNumberFormat="1" applyFont="1" applyFill="1" applyBorder="1" applyProtection="1"/>
    <xf numFmtId="165" fontId="100" fillId="5" borderId="5" xfId="1" quotePrefix="1" applyNumberFormat="1" applyFont="1" applyFill="1" applyBorder="1" applyAlignment="1" applyProtection="1">
      <alignment vertical="center"/>
    </xf>
    <xf numFmtId="165" fontId="100" fillId="5" borderId="0" xfId="1" quotePrefix="1" applyNumberFormat="1" applyFont="1" applyFill="1" applyBorder="1" applyProtection="1"/>
    <xf numFmtId="0" fontId="21" fillId="0" borderId="0" xfId="15" applyFont="1" applyAlignment="1">
      <alignment horizontal="left" vertical="top" wrapText="1"/>
    </xf>
    <xf numFmtId="0" fontId="21" fillId="0" borderId="0" xfId="0" applyFont="1" applyAlignment="1">
      <alignment horizontal="left" vertical="top" wrapText="1"/>
    </xf>
    <xf numFmtId="0" fontId="21" fillId="0" borderId="0" xfId="15" applyFont="1"/>
    <xf numFmtId="168" fontId="21" fillId="0" borderId="0" xfId="15" applyNumberFormat="1" applyFont="1" applyAlignment="1">
      <alignment horizontal="left" vertical="top" wrapText="1"/>
    </xf>
    <xf numFmtId="0" fontId="21" fillId="0" borderId="11" xfId="0" applyFont="1" applyBorder="1" applyAlignment="1">
      <alignment horizontal="left" vertical="top"/>
    </xf>
    <xf numFmtId="0" fontId="21" fillId="0" borderId="7" xfId="15" applyFont="1" applyBorder="1"/>
    <xf numFmtId="0" fontId="21" fillId="0" borderId="12" xfId="15" applyFont="1" applyBorder="1"/>
    <xf numFmtId="0" fontId="21" fillId="0" borderId="0" xfId="15" applyFont="1" applyAlignment="1">
      <alignment horizontal="left" vertical="top"/>
    </xf>
    <xf numFmtId="0" fontId="20" fillId="0" borderId="0" xfId="15" applyFont="1" applyAlignment="1">
      <alignment horizontal="centerContinuous"/>
    </xf>
    <xf numFmtId="165" fontId="20" fillId="0" borderId="0" xfId="1" applyNumberFormat="1" applyFont="1" applyBorder="1" applyAlignment="1" applyProtection="1">
      <alignment horizontal="centerContinuous"/>
    </xf>
    <xf numFmtId="0" fontId="21" fillId="0" borderId="0" xfId="15" applyFont="1" applyAlignment="1">
      <alignment vertical="center"/>
    </xf>
    <xf numFmtId="0" fontId="20" fillId="0" borderId="0" xfId="15" applyFont="1" applyAlignment="1">
      <alignment horizontal="centerContinuous" vertical="center"/>
    </xf>
    <xf numFmtId="165" fontId="20" fillId="0" borderId="0" xfId="1" applyNumberFormat="1" applyFont="1" applyAlignment="1" applyProtection="1">
      <alignment horizontal="centerContinuous" vertical="center"/>
    </xf>
    <xf numFmtId="165" fontId="21" fillId="0" borderId="0" xfId="1" applyNumberFormat="1" applyFont="1" applyAlignment="1" applyProtection="1">
      <alignment vertical="center"/>
    </xf>
    <xf numFmtId="0" fontId="21" fillId="0" borderId="6" xfId="15" applyFont="1" applyBorder="1" applyAlignment="1">
      <alignment vertical="center"/>
    </xf>
    <xf numFmtId="0" fontId="20" fillId="0" borderId="6" xfId="15" applyFont="1" applyBorder="1" applyAlignment="1">
      <alignment horizontal="centerContinuous" vertical="center"/>
    </xf>
    <xf numFmtId="165" fontId="20" fillId="0" borderId="6" xfId="1" applyNumberFormat="1" applyFont="1" applyBorder="1" applyAlignment="1" applyProtection="1">
      <alignment horizontal="centerContinuous" vertical="center"/>
    </xf>
    <xf numFmtId="165" fontId="21" fillId="0" borderId="6" xfId="1" applyNumberFormat="1" applyFont="1" applyBorder="1" applyAlignment="1" applyProtection="1">
      <alignment vertical="center"/>
    </xf>
    <xf numFmtId="165" fontId="21" fillId="0" borderId="0" xfId="1" applyNumberFormat="1" applyFont="1" applyAlignment="1" applyProtection="1">
      <alignment horizontal="centerContinuous" vertical="center"/>
    </xf>
    <xf numFmtId="165" fontId="21" fillId="0" borderId="0" xfId="1" applyNumberFormat="1" applyFont="1" applyBorder="1" applyAlignment="1" applyProtection="1">
      <alignment horizontal="centerContinuous" vertical="center"/>
    </xf>
    <xf numFmtId="165" fontId="21" fillId="0" borderId="6" xfId="1" applyNumberFormat="1" applyFont="1" applyBorder="1" applyAlignment="1" applyProtection="1">
      <alignment horizontal="centerContinuous" vertical="center"/>
    </xf>
    <xf numFmtId="0" fontId="39" fillId="0" borderId="0" xfId="15" applyFont="1" applyAlignment="1">
      <alignment vertical="center"/>
    </xf>
    <xf numFmtId="41" fontId="21" fillId="0" borderId="0" xfId="15" applyNumberFormat="1" applyFont="1" applyAlignment="1">
      <alignment horizontal="right"/>
    </xf>
    <xf numFmtId="165" fontId="21" fillId="2" borderId="3" xfId="1" applyNumberFormat="1" applyFont="1" applyFill="1" applyBorder="1" applyAlignment="1" applyProtection="1">
      <alignment horizontal="right"/>
      <protection locked="0"/>
    </xf>
    <xf numFmtId="165" fontId="21" fillId="0" borderId="0" xfId="1" applyNumberFormat="1" applyFont="1" applyAlignment="1" applyProtection="1">
      <alignment horizontal="right"/>
    </xf>
    <xf numFmtId="41" fontId="21" fillId="0" borderId="6" xfId="15" applyNumberFormat="1" applyFont="1" applyBorder="1" applyAlignment="1">
      <alignment horizontal="right"/>
    </xf>
    <xf numFmtId="165" fontId="21" fillId="0" borderId="6" xfId="1" applyNumberFormat="1" applyFont="1" applyBorder="1" applyAlignment="1" applyProtection="1">
      <alignment horizontal="right"/>
    </xf>
    <xf numFmtId="41" fontId="21" fillId="0" borderId="7" xfId="15" applyNumberFormat="1" applyFont="1" applyBorder="1" applyAlignment="1">
      <alignment horizontal="right"/>
    </xf>
    <xf numFmtId="165" fontId="21" fillId="0" borderId="7" xfId="1" applyNumberFormat="1" applyFont="1" applyBorder="1" applyAlignment="1" applyProtection="1">
      <alignment horizontal="right"/>
    </xf>
    <xf numFmtId="165" fontId="39" fillId="0" borderId="0" xfId="15" applyNumberFormat="1" applyFont="1"/>
    <xf numFmtId="165" fontId="21" fillId="0" borderId="0" xfId="1" applyNumberFormat="1" applyFont="1" applyBorder="1" applyAlignment="1" applyProtection="1">
      <alignment horizontal="right"/>
    </xf>
    <xf numFmtId="165" fontId="23" fillId="0" borderId="0" xfId="1" applyNumberFormat="1" applyFont="1" applyBorder="1" applyAlignment="1" applyProtection="1">
      <alignment horizontal="right"/>
    </xf>
    <xf numFmtId="0" fontId="21" fillId="0" borderId="0" xfId="15" quotePrefix="1" applyFont="1" applyAlignment="1">
      <alignment horizontal="left"/>
    </xf>
    <xf numFmtId="0" fontId="21" fillId="0" borderId="0" xfId="15" applyFont="1" applyAlignment="1">
      <alignment horizontal="left"/>
    </xf>
    <xf numFmtId="165" fontId="21" fillId="2" borderId="3" xfId="1" applyNumberFormat="1" applyFont="1" applyFill="1" applyBorder="1" applyProtection="1">
      <protection locked="0"/>
    </xf>
    <xf numFmtId="0" fontId="21" fillId="0" borderId="6" xfId="15" applyFont="1" applyBorder="1"/>
    <xf numFmtId="165" fontId="21" fillId="0" borderId="6" xfId="1" applyNumberFormat="1" applyFont="1" applyBorder="1" applyProtection="1"/>
    <xf numFmtId="165" fontId="23" fillId="0" borderId="0" xfId="1" applyNumberFormat="1" applyFont="1" applyAlignment="1" applyProtection="1">
      <alignment horizontal="right"/>
    </xf>
    <xf numFmtId="0" fontId="21" fillId="0" borderId="10" xfId="15" applyFont="1" applyBorder="1"/>
    <xf numFmtId="165" fontId="21" fillId="0" borderId="10" xfId="1" applyNumberFormat="1" applyFont="1" applyBorder="1" applyProtection="1"/>
    <xf numFmtId="165" fontId="21" fillId="0" borderId="0" xfId="1" applyNumberFormat="1" applyFont="1" applyFill="1" applyProtection="1"/>
    <xf numFmtId="9" fontId="21" fillId="5" borderId="4" xfId="31" quotePrefix="1" applyFont="1" applyFill="1" applyBorder="1" applyAlignment="1" applyProtection="1">
      <alignment horizontal="right"/>
    </xf>
    <xf numFmtId="49" fontId="0" fillId="9" borderId="0" xfId="0" applyNumberFormat="1" applyFill="1"/>
    <xf numFmtId="41" fontId="9" fillId="0" borderId="0" xfId="1" applyNumberFormat="1" applyFont="1" applyFill="1" applyBorder="1" applyProtection="1"/>
    <xf numFmtId="41" fontId="9" fillId="0" borderId="0" xfId="1" applyNumberFormat="1" applyFont="1" applyFill="1"/>
    <xf numFmtId="185" fontId="12" fillId="4" borderId="3" xfId="16" applyNumberFormat="1" applyFill="1" applyBorder="1" applyAlignment="1" applyProtection="1">
      <alignment wrapText="1"/>
      <protection locked="0"/>
    </xf>
    <xf numFmtId="0" fontId="0" fillId="5" borderId="3" xfId="0" applyFill="1" applyBorder="1"/>
    <xf numFmtId="0" fontId="22" fillId="5" borderId="3" xfId="0" applyFont="1" applyFill="1" applyBorder="1" applyAlignment="1">
      <alignment horizontal="left"/>
    </xf>
    <xf numFmtId="0" fontId="32" fillId="5" borderId="3" xfId="0" applyFont="1" applyFill="1" applyBorder="1" applyAlignment="1">
      <alignment horizontal="center"/>
    </xf>
    <xf numFmtId="49" fontId="51" fillId="0" borderId="6" xfId="98" applyNumberFormat="1" applyFont="1" applyBorder="1" applyAlignment="1" applyProtection="1">
      <alignment horizontal="center" wrapText="1"/>
      <protection locked="0"/>
    </xf>
    <xf numFmtId="0" fontId="108" fillId="0" borderId="18" xfId="98" applyFont="1" applyBorder="1" applyAlignment="1" applyProtection="1">
      <alignment horizontal="center" wrapText="1"/>
      <protection locked="0"/>
    </xf>
    <xf numFmtId="0" fontId="103" fillId="0" borderId="0" xfId="166" applyFont="1" applyProtection="1">
      <protection locked="0"/>
    </xf>
    <xf numFmtId="0" fontId="81" fillId="0" borderId="0" xfId="98" applyFont="1" applyProtection="1">
      <protection locked="0"/>
    </xf>
    <xf numFmtId="41" fontId="104" fillId="0" borderId="0" xfId="98" applyNumberFormat="1" applyFont="1" applyProtection="1">
      <protection locked="0"/>
    </xf>
    <xf numFmtId="0" fontId="104" fillId="0" borderId="0" xfId="98" applyFont="1" applyProtection="1">
      <protection locked="0"/>
    </xf>
    <xf numFmtId="41" fontId="109" fillId="0" borderId="0" xfId="98" applyNumberFormat="1" applyFont="1" applyProtection="1">
      <protection locked="0"/>
    </xf>
    <xf numFmtId="0" fontId="105" fillId="0" borderId="0" xfId="166" applyFont="1" applyProtection="1">
      <protection locked="0"/>
    </xf>
    <xf numFmtId="0" fontId="22" fillId="0" borderId="0" xfId="0" applyFont="1" applyProtection="1">
      <protection locked="0"/>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11" xfId="0" applyFont="1" applyFill="1" applyBorder="1" applyAlignment="1">
      <alignment horizontal="center" vertical="center"/>
    </xf>
    <xf numFmtId="165" fontId="120" fillId="0" borderId="0" xfId="1" applyNumberFormat="1" applyFont="1" applyAlignment="1">
      <alignment horizontal="center"/>
    </xf>
    <xf numFmtId="49" fontId="117" fillId="0" borderId="0" xfId="1" applyNumberFormat="1" applyFont="1" applyFill="1" applyProtection="1"/>
    <xf numFmtId="165" fontId="120" fillId="0" borderId="0" xfId="1" applyNumberFormat="1" applyFont="1"/>
    <xf numFmtId="0" fontId="22" fillId="2" borderId="3" xfId="0" applyFont="1" applyFill="1" applyBorder="1" applyAlignment="1" applyProtection="1">
      <alignment vertical="center" wrapText="1"/>
      <protection locked="0"/>
    </xf>
    <xf numFmtId="165" fontId="21" fillId="4" borderId="3" xfId="1" applyNumberFormat="1" applyFont="1" applyFill="1" applyBorder="1" applyAlignment="1" applyProtection="1">
      <alignment horizontal="left" wrapText="1"/>
      <protection locked="0"/>
    </xf>
    <xf numFmtId="49" fontId="85" fillId="3" borderId="31" xfId="77" applyNumberFormat="1" applyFont="1" applyFill="1" applyBorder="1" applyAlignment="1">
      <alignment horizontal="center"/>
    </xf>
    <xf numFmtId="49" fontId="85" fillId="3" borderId="33" xfId="77" applyNumberFormat="1" applyFont="1" applyFill="1" applyBorder="1" applyAlignment="1">
      <alignment horizontal="center"/>
    </xf>
    <xf numFmtId="49" fontId="85" fillId="3" borderId="32" xfId="77" applyNumberFormat="1" applyFont="1" applyFill="1" applyBorder="1"/>
    <xf numFmtId="0" fontId="0" fillId="0" borderId="0" xfId="0" quotePrefix="1"/>
    <xf numFmtId="0" fontId="0" fillId="0" borderId="30" xfId="0" applyBorder="1" applyAlignment="1">
      <alignment horizontal="left"/>
    </xf>
    <xf numFmtId="0" fontId="121" fillId="0" borderId="0" xfId="0" applyFont="1"/>
    <xf numFmtId="0" fontId="122" fillId="7" borderId="0" xfId="0" applyFont="1" applyFill="1" applyAlignment="1">
      <alignment horizontal="center" wrapText="1"/>
    </xf>
    <xf numFmtId="0" fontId="122" fillId="0" borderId="2" xfId="0" applyFont="1" applyBorder="1" applyAlignment="1">
      <alignment horizontal="center" wrapText="1"/>
    </xf>
    <xf numFmtId="0" fontId="122" fillId="0" borderId="0" xfId="0" applyFont="1" applyAlignment="1">
      <alignment horizontal="center" wrapText="1"/>
    </xf>
    <xf numFmtId="0" fontId="123" fillId="0" borderId="0" xfId="0" applyFont="1"/>
    <xf numFmtId="0" fontId="124" fillId="0" borderId="0" xfId="0" applyFont="1"/>
    <xf numFmtId="165" fontId="124" fillId="2" borderId="3" xfId="1" applyNumberFormat="1" applyFont="1" applyFill="1" applyBorder="1" applyProtection="1"/>
    <xf numFmtId="41" fontId="124" fillId="2" borderId="3" xfId="1" applyNumberFormat="1" applyFont="1" applyFill="1" applyBorder="1" applyProtection="1"/>
    <xf numFmtId="41" fontId="124" fillId="2" borderId="11" xfId="1" applyNumberFormat="1" applyFont="1" applyFill="1" applyBorder="1" applyProtection="1"/>
    <xf numFmtId="165" fontId="124" fillId="2" borderId="11" xfId="1" applyNumberFormat="1" applyFont="1" applyFill="1" applyBorder="1" applyProtection="1"/>
    <xf numFmtId="165" fontId="124" fillId="0" borderId="0" xfId="1" applyNumberFormat="1" applyFont="1" applyFill="1" applyBorder="1" applyProtection="1"/>
    <xf numFmtId="165" fontId="124" fillId="4" borderId="3" xfId="1" applyNumberFormat="1" applyFont="1" applyFill="1" applyBorder="1" applyProtection="1"/>
    <xf numFmtId="0" fontId="125" fillId="0" borderId="0" xfId="0" applyFont="1"/>
    <xf numFmtId="0" fontId="126" fillId="0" borderId="0" xfId="0" applyFont="1"/>
    <xf numFmtId="165" fontId="124" fillId="0" borderId="3" xfId="1" applyNumberFormat="1" applyFont="1" applyBorder="1" applyProtection="1"/>
    <xf numFmtId="165" fontId="124" fillId="0" borderId="11" xfId="1" applyNumberFormat="1" applyFont="1" applyBorder="1" applyProtection="1"/>
    <xf numFmtId="165" fontId="124" fillId="0" borderId="0" xfId="1" applyNumberFormat="1" applyFont="1" applyProtection="1"/>
    <xf numFmtId="41" fontId="124" fillId="4" borderId="3" xfId="1" applyNumberFormat="1" applyFont="1" applyFill="1" applyBorder="1" applyProtection="1"/>
    <xf numFmtId="165" fontId="124" fillId="0" borderId="0" xfId="1" applyNumberFormat="1" applyFont="1" applyBorder="1" applyProtection="1"/>
    <xf numFmtId="0" fontId="124" fillId="0" borderId="0" xfId="16" applyFont="1"/>
    <xf numFmtId="0" fontId="126" fillId="0" borderId="0" xfId="0" applyFont="1" applyAlignment="1">
      <alignment horizontal="left"/>
    </xf>
    <xf numFmtId="165" fontId="124" fillId="0" borderId="5" xfId="1" applyNumberFormat="1" applyFont="1" applyBorder="1" applyProtection="1"/>
    <xf numFmtId="165" fontId="124" fillId="0" borderId="16" xfId="1" applyNumberFormat="1" applyFont="1" applyBorder="1" applyProtection="1"/>
    <xf numFmtId="165" fontId="124" fillId="0" borderId="22" xfId="0" applyNumberFormat="1" applyFont="1" applyBorder="1"/>
    <xf numFmtId="165" fontId="124" fillId="0" borderId="16" xfId="0" applyNumberFormat="1" applyFont="1" applyBorder="1"/>
    <xf numFmtId="0" fontId="123" fillId="0" borderId="2" xfId="0" applyFont="1" applyBorder="1" applyAlignment="1">
      <alignment horizontal="center" wrapText="1"/>
    </xf>
    <xf numFmtId="0" fontId="123" fillId="0" borderId="0" xfId="0" applyFont="1" applyAlignment="1">
      <alignment horizontal="center" wrapText="1"/>
    </xf>
    <xf numFmtId="166" fontId="124" fillId="0" borderId="0" xfId="18" applyFont="1" applyAlignment="1">
      <alignment horizontal="left"/>
    </xf>
    <xf numFmtId="166" fontId="124" fillId="0" borderId="0" xfId="18" applyFont="1"/>
    <xf numFmtId="166" fontId="126" fillId="0" borderId="0" xfId="18" applyFont="1" applyAlignment="1">
      <alignment horizontal="left"/>
    </xf>
    <xf numFmtId="165" fontId="124" fillId="0" borderId="3" xfId="1" applyNumberFormat="1" applyFont="1" applyFill="1" applyBorder="1" applyProtection="1"/>
    <xf numFmtId="165" fontId="124" fillId="0" borderId="17" xfId="1" applyNumberFormat="1" applyFont="1" applyFill="1" applyBorder="1" applyProtection="1"/>
    <xf numFmtId="165" fontId="124" fillId="0" borderId="11" xfId="1" applyNumberFormat="1" applyFont="1" applyFill="1" applyBorder="1" applyProtection="1"/>
    <xf numFmtId="165" fontId="124" fillId="0" borderId="7" xfId="1" applyNumberFormat="1" applyFont="1" applyFill="1" applyBorder="1" applyProtection="1"/>
    <xf numFmtId="165" fontId="124" fillId="0" borderId="9" xfId="1" applyNumberFormat="1" applyFont="1" applyFill="1" applyBorder="1" applyProtection="1"/>
    <xf numFmtId="165" fontId="124" fillId="2" borderId="17" xfId="1" applyNumberFormat="1" applyFont="1" applyFill="1" applyBorder="1" applyProtection="1"/>
    <xf numFmtId="165" fontId="124" fillId="0" borderId="22" xfId="1" applyNumberFormat="1" applyFont="1" applyBorder="1" applyProtection="1"/>
    <xf numFmtId="165" fontId="124" fillId="0" borderId="6" xfId="1" applyNumberFormat="1" applyFont="1" applyFill="1" applyBorder="1" applyProtection="1"/>
    <xf numFmtId="165" fontId="124" fillId="2" borderId="7" xfId="1" applyNumberFormat="1" applyFont="1" applyFill="1" applyBorder="1" applyProtection="1"/>
    <xf numFmtId="165" fontId="124" fillId="2" borderId="13" xfId="1" applyNumberFormat="1" applyFont="1" applyFill="1" applyBorder="1" applyProtection="1"/>
    <xf numFmtId="41" fontId="124" fillId="2" borderId="13" xfId="1" applyNumberFormat="1" applyFont="1" applyFill="1" applyBorder="1" applyProtection="1"/>
    <xf numFmtId="165" fontId="124" fillId="2" borderId="0" xfId="1" applyNumberFormat="1" applyFont="1" applyFill="1" applyBorder="1" applyProtection="1"/>
    <xf numFmtId="0" fontId="123" fillId="0" borderId="3" xfId="0" applyFont="1" applyBorder="1" applyAlignment="1">
      <alignment horizontal="left"/>
    </xf>
    <xf numFmtId="0" fontId="124" fillId="0" borderId="3" xfId="0" applyFont="1" applyBorder="1"/>
    <xf numFmtId="0" fontId="123" fillId="0" borderId="0" xfId="0" applyFont="1" applyAlignment="1">
      <alignment horizontal="left"/>
    </xf>
    <xf numFmtId="164" fontId="123" fillId="0" borderId="0" xfId="0" quotePrefix="1" applyNumberFormat="1" applyFont="1" applyAlignment="1">
      <alignment horizontal="left"/>
    </xf>
    <xf numFmtId="0" fontId="124" fillId="0" borderId="0" xfId="0" applyFont="1" applyAlignment="1">
      <alignment horizontal="left"/>
    </xf>
    <xf numFmtId="0" fontId="129" fillId="0" borderId="0" xfId="0" applyFont="1" applyAlignment="1">
      <alignment horizontal="left"/>
    </xf>
    <xf numFmtId="41" fontId="124" fillId="0" borderId="3" xfId="1" applyNumberFormat="1" applyFont="1" applyFill="1" applyBorder="1" applyProtection="1"/>
    <xf numFmtId="0" fontId="130" fillId="0" borderId="0" xfId="0" applyFont="1" applyAlignment="1">
      <alignment horizontal="left"/>
    </xf>
    <xf numFmtId="0" fontId="130" fillId="0" borderId="0" xfId="0" applyFont="1"/>
    <xf numFmtId="165" fontId="130" fillId="0" borderId="0" xfId="0" applyNumberFormat="1" applyFont="1"/>
    <xf numFmtId="0" fontId="128" fillId="0" borderId="0" xfId="0" applyFont="1"/>
    <xf numFmtId="0" fontId="128" fillId="0" borderId="0" xfId="0" applyFont="1" applyAlignment="1">
      <alignment horizontal="left" wrapText="1"/>
    </xf>
    <xf numFmtId="0" fontId="121" fillId="0" borderId="0" xfId="0" applyFont="1" applyAlignment="1">
      <alignment horizontal="left"/>
    </xf>
    <xf numFmtId="49" fontId="128" fillId="7" borderId="3" xfId="0" applyNumberFormat="1" applyFont="1" applyFill="1" applyBorder="1" applyAlignment="1">
      <alignment horizontal="center" vertical="center" wrapText="1"/>
    </xf>
    <xf numFmtId="0" fontId="128" fillId="0" borderId="3" xfId="0" applyFont="1" applyBorder="1"/>
    <xf numFmtId="165" fontId="121" fillId="0" borderId="0" xfId="0" applyNumberFormat="1" applyFont="1"/>
    <xf numFmtId="165" fontId="130" fillId="0" borderId="0" xfId="1" applyNumberFormat="1" applyFont="1" applyProtection="1"/>
    <xf numFmtId="49" fontId="119" fillId="7" borderId="0" xfId="1" applyNumberFormat="1" applyFont="1" applyFill="1" applyProtection="1"/>
    <xf numFmtId="49" fontId="76" fillId="0" borderId="3" xfId="19" applyNumberFormat="1" applyFont="1" applyBorder="1" applyAlignment="1">
      <alignment horizontal="center" vertical="center" wrapText="1"/>
    </xf>
    <xf numFmtId="0" fontId="131" fillId="0" borderId="0" xfId="0" applyFont="1"/>
    <xf numFmtId="49" fontId="41" fillId="0" borderId="0" xfId="0" applyNumberFormat="1" applyFont="1" applyAlignment="1">
      <alignment horizontal="left"/>
    </xf>
    <xf numFmtId="49" fontId="29" fillId="0" borderId="0" xfId="0" applyNumberFormat="1" applyFont="1"/>
    <xf numFmtId="49" fontId="12" fillId="0" borderId="3" xfId="0" applyNumberFormat="1" applyFont="1" applyBorder="1" applyAlignment="1">
      <alignment horizontal="center"/>
    </xf>
    <xf numFmtId="49" fontId="12" fillId="0" borderId="3" xfId="0" applyNumberFormat="1" applyFont="1" applyBorder="1"/>
    <xf numFmtId="49" fontId="132" fillId="0" borderId="0" xfId="0" applyNumberFormat="1" applyFont="1"/>
    <xf numFmtId="49" fontId="133" fillId="0" borderId="0" xfId="0" applyNumberFormat="1" applyFont="1" applyAlignment="1">
      <alignment horizontal="left"/>
    </xf>
    <xf numFmtId="49" fontId="15" fillId="0" borderId="0" xfId="0" applyNumberFormat="1" applyFont="1"/>
    <xf numFmtId="49" fontId="134" fillId="0" borderId="0" xfId="0" applyNumberFormat="1" applyFont="1"/>
    <xf numFmtId="49" fontId="12" fillId="0" borderId="3" xfId="0" applyNumberFormat="1" applyFont="1" applyBorder="1" applyAlignment="1">
      <alignment wrapText="1"/>
    </xf>
    <xf numFmtId="49" fontId="12" fillId="5" borderId="3" xfId="0" applyNumberFormat="1" applyFont="1" applyFill="1" applyBorder="1" applyAlignment="1">
      <alignment horizontal="center"/>
    </xf>
    <xf numFmtId="49" fontId="12" fillId="5" borderId="3" xfId="0" applyNumberFormat="1" applyFont="1" applyFill="1" applyBorder="1"/>
    <xf numFmtId="49" fontId="12" fillId="0" borderId="0" xfId="0" applyNumberFormat="1" applyFont="1" applyAlignment="1">
      <alignment horizontal="left"/>
    </xf>
    <xf numFmtId="49" fontId="134" fillId="0" borderId="0" xfId="0" applyNumberFormat="1" applyFont="1" applyAlignment="1">
      <alignment wrapText="1"/>
    </xf>
    <xf numFmtId="49" fontId="12" fillId="0" borderId="0" xfId="0" applyNumberFormat="1" applyFont="1" applyAlignment="1">
      <alignment horizontal="right"/>
    </xf>
    <xf numFmtId="49" fontId="12" fillId="0" borderId="0" xfId="0" applyNumberFormat="1" applyFont="1"/>
    <xf numFmtId="49" fontId="15" fillId="0" borderId="0" xfId="0" applyNumberFormat="1" applyFont="1" applyAlignment="1">
      <alignment horizontal="left"/>
    </xf>
    <xf numFmtId="49" fontId="12" fillId="0" borderId="3" xfId="0" quotePrefix="1" applyNumberFormat="1" applyFont="1" applyBorder="1" applyAlignment="1">
      <alignment horizontal="center"/>
    </xf>
    <xf numFmtId="49" fontId="132" fillId="0" borderId="0" xfId="0" applyNumberFormat="1" applyFont="1" applyAlignment="1">
      <alignment wrapText="1"/>
    </xf>
    <xf numFmtId="0" fontId="22" fillId="5" borderId="4" xfId="17" applyFont="1" applyFill="1" applyBorder="1" applyAlignment="1">
      <alignment vertical="top" wrapText="1"/>
    </xf>
    <xf numFmtId="0" fontId="22" fillId="5" borderId="23" xfId="17" applyFont="1" applyFill="1" applyBorder="1" applyAlignment="1">
      <alignment vertical="top" wrapText="1"/>
    </xf>
    <xf numFmtId="0" fontId="22" fillId="5" borderId="13" xfId="17" applyFont="1" applyFill="1" applyBorder="1" applyAlignment="1">
      <alignment vertical="top" wrapText="1"/>
    </xf>
    <xf numFmtId="0" fontId="32" fillId="5" borderId="3" xfId="0" applyFont="1" applyFill="1" applyBorder="1" applyAlignment="1">
      <alignment horizontal="left"/>
    </xf>
    <xf numFmtId="0" fontId="22" fillId="5" borderId="3" xfId="0" applyFont="1" applyFill="1" applyBorder="1" applyAlignment="1">
      <alignment horizontal="left" wrapText="1"/>
    </xf>
    <xf numFmtId="0" fontId="22" fillId="2" borderId="3" xfId="0" applyFont="1" applyFill="1" applyBorder="1" applyAlignment="1" applyProtection="1">
      <alignment wrapText="1"/>
      <protection locked="0"/>
    </xf>
    <xf numFmtId="0" fontId="90" fillId="5" borderId="0" xfId="0" applyFont="1" applyFill="1"/>
    <xf numFmtId="0" fontId="88" fillId="5" borderId="0" xfId="0" applyFont="1" applyFill="1" applyAlignment="1">
      <alignment vertical="top" wrapText="1"/>
    </xf>
    <xf numFmtId="0" fontId="88" fillId="5" borderId="11" xfId="0" applyFont="1" applyFill="1" applyBorder="1" applyAlignment="1">
      <alignment horizontal="center" vertical="center"/>
    </xf>
    <xf numFmtId="0" fontId="135" fillId="5" borderId="3" xfId="0" applyFont="1" applyFill="1" applyBorder="1" applyAlignment="1">
      <alignment vertical="top" wrapText="1"/>
    </xf>
    <xf numFmtId="41" fontId="21" fillId="4" borderId="3" xfId="1" applyNumberFormat="1" applyFont="1" applyFill="1" applyBorder="1" applyProtection="1"/>
    <xf numFmtId="165" fontId="21" fillId="5" borderId="0" xfId="1" applyNumberFormat="1" applyFont="1" applyFill="1" applyBorder="1" applyAlignment="1" applyProtection="1">
      <alignment horizontal="left"/>
      <protection locked="0"/>
    </xf>
    <xf numFmtId="0" fontId="29" fillId="0" borderId="3" xfId="0" applyFont="1" applyBorder="1" applyAlignment="1">
      <alignment wrapText="1"/>
    </xf>
    <xf numFmtId="0" fontId="32" fillId="5" borderId="3" xfId="13" applyFont="1" applyFill="1" applyBorder="1" applyAlignment="1">
      <alignment vertical="top" wrapText="1"/>
    </xf>
    <xf numFmtId="0" fontId="22" fillId="0" borderId="11" xfId="0" applyFont="1" applyBorder="1" applyAlignment="1">
      <alignment horizontal="center" vertical="center"/>
    </xf>
    <xf numFmtId="0" fontId="135" fillId="0" borderId="3" xfId="0" applyFont="1" applyBorder="1" applyAlignment="1">
      <alignment vertical="top" wrapText="1"/>
    </xf>
    <xf numFmtId="0" fontId="0" fillId="0" borderId="2" xfId="0" quotePrefix="1" applyBorder="1" applyAlignment="1">
      <alignment horizontal="left"/>
    </xf>
    <xf numFmtId="41" fontId="143" fillId="2" borderId="3" xfId="1" applyNumberFormat="1" applyFont="1" applyFill="1" applyBorder="1" applyProtection="1"/>
    <xf numFmtId="41" fontId="124" fillId="11" borderId="3" xfId="1" applyNumberFormat="1" applyFont="1" applyFill="1" applyBorder="1" applyProtection="1"/>
    <xf numFmtId="165" fontId="124" fillId="11" borderId="3" xfId="1" applyNumberFormat="1" applyFont="1" applyFill="1" applyBorder="1" applyProtection="1"/>
    <xf numFmtId="49" fontId="144" fillId="0" borderId="0" xfId="0" applyNumberFormat="1" applyFont="1"/>
    <xf numFmtId="0" fontId="12" fillId="0" borderId="3" xfId="0" applyFont="1" applyBorder="1" applyAlignment="1">
      <alignment horizontal="right"/>
    </xf>
    <xf numFmtId="49" fontId="15" fillId="0" borderId="3" xfId="0" applyNumberFormat="1" applyFont="1" applyBorder="1" applyAlignment="1">
      <alignment wrapText="1"/>
    </xf>
    <xf numFmtId="49" fontId="144" fillId="0" borderId="0" xfId="0" applyNumberFormat="1" applyFont="1" applyAlignment="1">
      <alignment wrapText="1"/>
    </xf>
    <xf numFmtId="0" fontId="12" fillId="5" borderId="3" xfId="0" applyFont="1" applyFill="1" applyBorder="1" applyAlignment="1">
      <alignment horizontal="right"/>
    </xf>
    <xf numFmtId="49" fontId="12" fillId="5" borderId="3" xfId="0" applyNumberFormat="1" applyFont="1" applyFill="1" applyBorder="1" applyAlignment="1">
      <alignment wrapText="1"/>
    </xf>
    <xf numFmtId="49" fontId="12" fillId="0" borderId="0" xfId="0" applyNumberFormat="1" applyFont="1" applyAlignment="1">
      <alignment wrapText="1"/>
    </xf>
    <xf numFmtId="0" fontId="12" fillId="0" borderId="3" xfId="0" applyFont="1" applyBorder="1" applyAlignment="1">
      <alignment horizontal="center"/>
    </xf>
    <xf numFmtId="0" fontId="12" fillId="5" borderId="3" xfId="0" applyFont="1" applyFill="1" applyBorder="1" applyAlignment="1">
      <alignment horizontal="center"/>
    </xf>
    <xf numFmtId="49" fontId="134" fillId="5" borderId="0" xfId="0" applyNumberFormat="1" applyFont="1" applyFill="1" applyAlignment="1">
      <alignment wrapText="1"/>
    </xf>
    <xf numFmtId="49" fontId="12" fillId="0" borderId="0" xfId="0" applyNumberFormat="1" applyFont="1" applyAlignment="1">
      <alignment horizontal="center"/>
    </xf>
    <xf numFmtId="49" fontId="134" fillId="0" borderId="0" xfId="0" applyNumberFormat="1" applyFont="1" applyAlignment="1">
      <alignment horizontal="left" wrapText="1"/>
    </xf>
    <xf numFmtId="49" fontId="12" fillId="10" borderId="3" xfId="0" applyNumberFormat="1" applyFont="1" applyFill="1" applyBorder="1"/>
    <xf numFmtId="0" fontId="22" fillId="0" borderId="0" xfId="13" applyFont="1" applyAlignment="1" applyProtection="1">
      <alignment horizontal="left" vertical="top" wrapText="1"/>
      <protection locked="0"/>
    </xf>
    <xf numFmtId="0" fontId="81" fillId="0" borderId="3" xfId="13" applyFont="1" applyBorder="1" applyAlignment="1">
      <alignment horizontal="center" vertical="center" wrapText="1"/>
    </xf>
    <xf numFmtId="0" fontId="22" fillId="5" borderId="0" xfId="13" applyFont="1" applyFill="1"/>
    <xf numFmtId="0" fontId="22" fillId="5" borderId="0" xfId="13" applyFont="1" applyFill="1" applyAlignment="1">
      <alignment vertical="top"/>
    </xf>
    <xf numFmtId="165" fontId="21" fillId="5" borderId="3" xfId="1" applyNumberFormat="1" applyFont="1" applyFill="1" applyBorder="1" applyProtection="1">
      <protection locked="0"/>
    </xf>
    <xf numFmtId="165" fontId="21" fillId="5" borderId="0" xfId="1" applyNumberFormat="1" applyFont="1" applyFill="1" applyProtection="1">
      <protection locked="0"/>
    </xf>
    <xf numFmtId="0" fontId="21" fillId="5" borderId="0" xfId="16" applyFont="1" applyFill="1"/>
    <xf numFmtId="0" fontId="0" fillId="5" borderId="0" xfId="0" applyFill="1"/>
    <xf numFmtId="0" fontId="32" fillId="5" borderId="2" xfId="0" applyFont="1" applyFill="1" applyBorder="1" applyAlignment="1">
      <alignment horizontal="center"/>
    </xf>
    <xf numFmtId="41" fontId="22" fillId="5" borderId="3" xfId="0" applyNumberFormat="1" applyFont="1" applyFill="1" applyBorder="1"/>
    <xf numFmtId="41" fontId="22" fillId="5" borderId="5" xfId="0" applyNumberFormat="1" applyFont="1" applyFill="1" applyBorder="1"/>
    <xf numFmtId="0" fontId="66" fillId="5" borderId="0" xfId="0" applyFont="1" applyFill="1" applyAlignment="1">
      <alignment horizontal="center"/>
    </xf>
    <xf numFmtId="0" fontId="66" fillId="5" borderId="0" xfId="0" applyFont="1" applyFill="1"/>
    <xf numFmtId="0" fontId="82" fillId="5" borderId="0" xfId="0" applyFont="1" applyFill="1" applyAlignment="1">
      <alignment horizontal="right"/>
    </xf>
    <xf numFmtId="41" fontId="82" fillId="5" borderId="0" xfId="0" applyNumberFormat="1" applyFont="1" applyFill="1"/>
    <xf numFmtId="0" fontId="22" fillId="5" borderId="0" xfId="15" applyFont="1" applyFill="1" applyAlignment="1">
      <alignment horizontal="left" vertical="top"/>
    </xf>
    <xf numFmtId="168" fontId="22" fillId="5" borderId="0" xfId="15" applyNumberFormat="1" applyFont="1" applyFill="1" applyAlignment="1">
      <alignment horizontal="left" vertical="top"/>
    </xf>
    <xf numFmtId="0" fontId="32" fillId="5" borderId="0" xfId="15" applyFont="1" applyFill="1" applyAlignment="1">
      <alignment horizontal="centerContinuous" vertical="center"/>
    </xf>
    <xf numFmtId="164" fontId="32" fillId="5" borderId="6" xfId="0" applyNumberFormat="1" applyFont="1" applyFill="1" applyBorder="1" applyAlignment="1">
      <alignment horizontal="left"/>
    </xf>
    <xf numFmtId="0" fontId="22" fillId="5" borderId="6" xfId="0" applyFont="1" applyFill="1" applyBorder="1"/>
    <xf numFmtId="164" fontId="74" fillId="5" borderId="0" xfId="0" applyNumberFormat="1" applyFont="1" applyFill="1" applyAlignment="1">
      <alignment horizontal="left"/>
    </xf>
    <xf numFmtId="164" fontId="66" fillId="5" borderId="0" xfId="0" applyNumberFormat="1" applyFont="1" applyFill="1" applyAlignment="1">
      <alignment horizontal="left"/>
    </xf>
    <xf numFmtId="164" fontId="22" fillId="5" borderId="0" xfId="0" applyNumberFormat="1" applyFont="1" applyFill="1" applyAlignment="1">
      <alignment horizontal="left"/>
    </xf>
    <xf numFmtId="0" fontId="22" fillId="5" borderId="3" xfId="16" applyFont="1" applyFill="1" applyBorder="1" applyAlignment="1">
      <alignment horizontal="center" wrapText="1"/>
    </xf>
    <xf numFmtId="0" fontId="68" fillId="5" borderId="0" xfId="0" applyFont="1" applyFill="1"/>
    <xf numFmtId="0" fontId="22" fillId="5" borderId="0" xfId="16" applyFont="1" applyFill="1"/>
    <xf numFmtId="38" fontId="22" fillId="5" borderId="0" xfId="16" applyNumberFormat="1" applyFont="1" applyFill="1"/>
    <xf numFmtId="0" fontId="32" fillId="5" borderId="0" xfId="16" applyFont="1" applyFill="1" applyAlignment="1">
      <alignment horizontal="left"/>
    </xf>
    <xf numFmtId="42" fontId="22" fillId="5" borderId="8" xfId="16" applyNumberFormat="1" applyFont="1" applyFill="1" applyBorder="1" applyAlignment="1">
      <alignment horizontal="right"/>
    </xf>
    <xf numFmtId="0" fontId="21" fillId="5" borderId="13" xfId="0" applyFont="1" applyFill="1" applyBorder="1"/>
    <xf numFmtId="0" fontId="32" fillId="5" borderId="0" xfId="16" applyFont="1" applyFill="1"/>
    <xf numFmtId="0" fontId="9" fillId="5" borderId="0" xfId="0" applyFont="1" applyFill="1"/>
    <xf numFmtId="0" fontId="27" fillId="5" borderId="0" xfId="15" applyFont="1" applyFill="1" applyAlignment="1">
      <alignment horizontal="left" vertical="top"/>
    </xf>
    <xf numFmtId="0" fontId="27" fillId="5" borderId="0" xfId="15" applyFont="1" applyFill="1"/>
    <xf numFmtId="0" fontId="20" fillId="5" borderId="4" xfId="0" applyFont="1" applyFill="1" applyBorder="1" applyAlignment="1">
      <alignment horizontal="left"/>
    </xf>
    <xf numFmtId="168" fontId="27" fillId="5" borderId="0" xfId="15" applyNumberFormat="1" applyFont="1" applyFill="1" applyAlignment="1">
      <alignment horizontal="left" vertical="top"/>
    </xf>
    <xf numFmtId="0" fontId="27" fillId="5" borderId="0" xfId="15" applyFont="1" applyFill="1" applyAlignment="1">
      <alignment horizontal="left" vertical="top" wrapText="1"/>
    </xf>
    <xf numFmtId="0" fontId="21" fillId="5" borderId="0" xfId="0" applyFont="1" applyFill="1" applyAlignment="1">
      <alignment horizontal="left" vertical="top"/>
    </xf>
    <xf numFmtId="0" fontId="27" fillId="5" borderId="0" xfId="15" applyFont="1" applyFill="1" applyAlignment="1">
      <alignment vertical="center"/>
    </xf>
    <xf numFmtId="0" fontId="29" fillId="5" borderId="0" xfId="15" applyFont="1" applyFill="1" applyAlignment="1">
      <alignment horizontal="centerContinuous" vertical="center"/>
    </xf>
    <xf numFmtId="0" fontId="21" fillId="5" borderId="6" xfId="0" applyFont="1" applyFill="1" applyBorder="1"/>
    <xf numFmtId="164" fontId="56" fillId="5" borderId="0" xfId="0" applyNumberFormat="1" applyFont="1" applyFill="1" applyAlignment="1">
      <alignment horizontal="left"/>
    </xf>
    <xf numFmtId="164" fontId="39" fillId="5" borderId="0" xfId="0" applyNumberFormat="1" applyFont="1" applyFill="1" applyAlignment="1">
      <alignment horizontal="left"/>
    </xf>
    <xf numFmtId="0" fontId="12" fillId="5" borderId="3" xfId="16" applyFill="1" applyBorder="1" applyAlignment="1">
      <alignment horizontal="center" wrapText="1"/>
    </xf>
    <xf numFmtId="0" fontId="27" fillId="5" borderId="3" xfId="16" applyFont="1" applyFill="1" applyBorder="1" applyAlignment="1">
      <alignment horizontal="center" wrapText="1"/>
    </xf>
    <xf numFmtId="42" fontId="27" fillId="5" borderId="8" xfId="16" applyNumberFormat="1" applyFont="1" applyFill="1" applyBorder="1" applyAlignment="1">
      <alignment horizontal="right"/>
    </xf>
    <xf numFmtId="0" fontId="42" fillId="5" borderId="0" xfId="0" applyFont="1" applyFill="1" applyAlignment="1">
      <alignment horizontal="right"/>
    </xf>
    <xf numFmtId="0" fontId="21" fillId="5" borderId="0" xfId="0" applyFont="1" applyFill="1" applyAlignment="1">
      <alignment horizontal="right"/>
    </xf>
    <xf numFmtId="41" fontId="0" fillId="5" borderId="0" xfId="0" applyNumberFormat="1" applyFill="1"/>
    <xf numFmtId="0" fontId="21" fillId="5" borderId="0" xfId="0" quotePrefix="1" applyFont="1" applyFill="1"/>
    <xf numFmtId="0" fontId="26" fillId="5" borderId="0" xfId="0" applyFont="1" applyFill="1" applyAlignment="1">
      <alignment horizontal="right"/>
    </xf>
    <xf numFmtId="0" fontId="113" fillId="5" borderId="0" xfId="0" applyFont="1" applyFill="1" applyAlignment="1">
      <alignment horizontal="right"/>
    </xf>
    <xf numFmtId="0" fontId="114" fillId="5" borderId="0" xfId="0" applyFont="1" applyFill="1" applyAlignment="1">
      <alignment horizontal="right"/>
    </xf>
    <xf numFmtId="0" fontId="101" fillId="5" borderId="0" xfId="0" applyFont="1" applyFill="1" applyAlignment="1">
      <alignment horizontal="left"/>
    </xf>
    <xf numFmtId="41" fontId="100" fillId="5" borderId="0" xfId="0" applyNumberFormat="1" applyFont="1" applyFill="1"/>
    <xf numFmtId="0" fontId="100" fillId="5" borderId="0" xfId="0" applyFont="1" applyFill="1" applyAlignment="1">
      <alignment horizontal="left"/>
    </xf>
    <xf numFmtId="41" fontId="39" fillId="5" borderId="0" xfId="0" applyNumberFormat="1" applyFont="1" applyFill="1"/>
    <xf numFmtId="166" fontId="116" fillId="5" borderId="0" xfId="18" applyFont="1" applyFill="1" applyAlignment="1">
      <alignment horizontal="left"/>
    </xf>
    <xf numFmtId="0" fontId="100" fillId="5" borderId="0" xfId="0" applyFont="1" applyFill="1" applyAlignment="1">
      <alignment horizontal="right"/>
    </xf>
    <xf numFmtId="0" fontId="23" fillId="5" borderId="0" xfId="0" applyFont="1" applyFill="1" applyAlignment="1">
      <alignment horizontal="right"/>
    </xf>
    <xf numFmtId="165" fontId="114" fillId="5" borderId="21" xfId="0" applyNumberFormat="1" applyFont="1" applyFill="1" applyBorder="1"/>
    <xf numFmtId="0" fontId="9" fillId="5" borderId="31" xfId="0" applyFont="1" applyFill="1" applyBorder="1" applyAlignment="1">
      <alignment horizontal="right"/>
    </xf>
    <xf numFmtId="41" fontId="21" fillId="5" borderId="32" xfId="0" applyNumberFormat="1" applyFont="1" applyFill="1" applyBorder="1"/>
    <xf numFmtId="0" fontId="9" fillId="5" borderId="26" xfId="0" applyFont="1" applyFill="1" applyBorder="1" applyAlignment="1">
      <alignment horizontal="right"/>
    </xf>
    <xf numFmtId="41" fontId="21" fillId="5" borderId="28" xfId="0" applyNumberFormat="1" applyFont="1" applyFill="1" applyBorder="1"/>
    <xf numFmtId="0" fontId="0" fillId="5" borderId="26" xfId="0" applyFill="1" applyBorder="1"/>
    <xf numFmtId="0" fontId="0" fillId="5" borderId="28" xfId="0" applyFill="1" applyBorder="1"/>
    <xf numFmtId="41" fontId="21" fillId="5" borderId="26" xfId="0" applyNumberFormat="1" applyFont="1" applyFill="1" applyBorder="1"/>
    <xf numFmtId="41" fontId="21" fillId="5" borderId="29" xfId="0" applyNumberFormat="1" applyFont="1" applyFill="1" applyBorder="1"/>
    <xf numFmtId="41" fontId="21" fillId="5" borderId="30" xfId="0" applyNumberFormat="1" applyFont="1" applyFill="1" applyBorder="1"/>
    <xf numFmtId="0" fontId="20" fillId="5" borderId="0" xfId="9" applyFont="1" applyFill="1"/>
    <xf numFmtId="0" fontId="20" fillId="5" borderId="0" xfId="13" applyFont="1" applyFill="1" applyAlignment="1">
      <alignment horizontal="left" vertical="top"/>
    </xf>
    <xf numFmtId="38" fontId="21" fillId="5" borderId="0" xfId="16" applyNumberFormat="1" applyFont="1" applyFill="1" applyAlignment="1">
      <alignment horizontal="left" vertical="top"/>
    </xf>
    <xf numFmtId="49" fontId="22" fillId="5" borderId="0" xfId="14" applyNumberFormat="1" applyFont="1" applyFill="1" applyAlignment="1">
      <alignment horizontal="left" vertical="top" wrapText="1"/>
    </xf>
    <xf numFmtId="0" fontId="22" fillId="5" borderId="0" xfId="14" applyFont="1" applyFill="1"/>
    <xf numFmtId="0" fontId="32" fillId="5" borderId="0" xfId="9" applyFont="1" applyFill="1"/>
    <xf numFmtId="0" fontId="22" fillId="5" borderId="0" xfId="9" applyFont="1" applyFill="1" applyAlignment="1">
      <alignment horizontal="center" wrapText="1"/>
    </xf>
    <xf numFmtId="0" fontId="22" fillId="5" borderId="14" xfId="9" applyFont="1" applyFill="1" applyBorder="1" applyAlignment="1">
      <alignment horizontal="center" wrapText="1"/>
    </xf>
    <xf numFmtId="0" fontId="22" fillId="5" borderId="0" xfId="9" applyFont="1" applyFill="1" applyAlignment="1">
      <alignment horizontal="justify" wrapText="1"/>
    </xf>
    <xf numFmtId="0" fontId="32" fillId="5" borderId="0" xfId="9" applyFont="1" applyFill="1" applyAlignment="1">
      <alignment horizontal="right"/>
    </xf>
    <xf numFmtId="0" fontId="22" fillId="5" borderId="0" xfId="13" applyFont="1" applyFill="1" applyAlignment="1">
      <alignment horizontal="right" vertical="top"/>
    </xf>
    <xf numFmtId="181" fontId="22" fillId="5" borderId="0" xfId="0" applyNumberFormat="1" applyFont="1" applyFill="1"/>
    <xf numFmtId="38" fontId="21" fillId="5" borderId="0" xfId="16" applyNumberFormat="1" applyFont="1" applyFill="1"/>
    <xf numFmtId="0" fontId="22" fillId="5" borderId="0" xfId="0" applyFont="1" applyFill="1" applyAlignment="1">
      <alignment horizontal="left" wrapText="1"/>
    </xf>
    <xf numFmtId="0" fontId="58" fillId="5" borderId="0" xfId="0" applyFont="1" applyFill="1"/>
    <xf numFmtId="0" fontId="41" fillId="5" borderId="0" xfId="0" applyFont="1" applyFill="1"/>
    <xf numFmtId="164" fontId="22" fillId="5" borderId="6" xfId="0" applyNumberFormat="1" applyFont="1" applyFill="1" applyBorder="1" applyAlignment="1">
      <alignment horizontal="left"/>
    </xf>
    <xf numFmtId="0" fontId="22" fillId="5" borderId="6" xfId="15" applyFont="1" applyFill="1" applyBorder="1" applyAlignment="1">
      <alignment vertical="center"/>
    </xf>
    <xf numFmtId="0" fontId="32" fillId="5" borderId="6" xfId="15" applyFont="1" applyFill="1" applyBorder="1" applyAlignment="1">
      <alignment horizontal="centerContinuous" vertical="center"/>
    </xf>
    <xf numFmtId="38" fontId="22" fillId="5" borderId="7" xfId="16" applyNumberFormat="1" applyFont="1" applyFill="1" applyBorder="1" applyAlignment="1">
      <alignment horizontal="center" wrapText="1"/>
    </xf>
    <xf numFmtId="41" fontId="22" fillId="5" borderId="3" xfId="0" applyNumberFormat="1" applyFont="1" applyFill="1" applyBorder="1" applyAlignment="1">
      <alignment wrapText="1"/>
    </xf>
    <xf numFmtId="0" fontId="141" fillId="5" borderId="0" xfId="0" applyFont="1" applyFill="1" applyAlignment="1">
      <alignment vertical="center"/>
    </xf>
    <xf numFmtId="0" fontId="22" fillId="4" borderId="3" xfId="0" applyFont="1" applyFill="1" applyBorder="1" applyAlignment="1" applyProtection="1">
      <alignment vertical="top" wrapText="1"/>
      <protection locked="0"/>
    </xf>
    <xf numFmtId="41" fontId="22" fillId="4" borderId="3" xfId="0" applyNumberFormat="1" applyFont="1" applyFill="1" applyBorder="1" applyAlignment="1" applyProtection="1">
      <alignment vertical="top" wrapText="1"/>
      <protection locked="0"/>
    </xf>
    <xf numFmtId="14" fontId="21" fillId="5" borderId="0" xfId="0" applyNumberFormat="1" applyFont="1" applyFill="1"/>
    <xf numFmtId="168" fontId="22" fillId="5" borderId="0" xfId="0" applyNumberFormat="1" applyFont="1" applyFill="1"/>
    <xf numFmtId="0" fontId="29" fillId="5" borderId="0" xfId="0" applyFont="1" applyFill="1"/>
    <xf numFmtId="0" fontId="23" fillId="5" borderId="0" xfId="0" applyFont="1" applyFill="1" applyAlignment="1">
      <alignment horizontal="center" wrapText="1"/>
    </xf>
    <xf numFmtId="41" fontId="21" fillId="4" borderId="3" xfId="1" applyNumberFormat="1" applyFont="1" applyFill="1" applyBorder="1" applyAlignment="1" applyProtection="1">
      <alignment wrapText="1"/>
    </xf>
    <xf numFmtId="0" fontId="25" fillId="0" borderId="0" xfId="0" applyFont="1"/>
    <xf numFmtId="0" fontId="80" fillId="5" borderId="0" xfId="0" applyFont="1" applyFill="1" applyAlignment="1">
      <alignment horizontal="left"/>
    </xf>
    <xf numFmtId="166" fontId="24" fillId="5" borderId="0" xfId="18" applyFont="1" applyFill="1" applyAlignment="1">
      <alignment horizontal="left"/>
    </xf>
    <xf numFmtId="0" fontId="39" fillId="5" borderId="3" xfId="0" applyFont="1" applyFill="1" applyBorder="1" applyAlignment="1">
      <alignment horizontal="center"/>
    </xf>
    <xf numFmtId="0" fontId="21" fillId="5" borderId="3" xfId="0" applyFont="1" applyFill="1" applyBorder="1"/>
    <xf numFmtId="0" fontId="39" fillId="5" borderId="9" xfId="0" applyFont="1" applyFill="1" applyBorder="1" applyAlignment="1">
      <alignment horizontal="center"/>
    </xf>
    <xf numFmtId="41" fontId="20" fillId="5" borderId="0" xfId="0" applyNumberFormat="1" applyFont="1" applyFill="1"/>
    <xf numFmtId="0" fontId="21" fillId="10" borderId="0" xfId="0" applyFont="1" applyFill="1"/>
    <xf numFmtId="0" fontId="20" fillId="4" borderId="3" xfId="0" applyFont="1" applyFill="1" applyBorder="1" applyAlignment="1" applyProtection="1">
      <alignment wrapText="1"/>
      <protection locked="0"/>
    </xf>
    <xf numFmtId="0" fontId="32" fillId="5" borderId="3" xfId="0" applyFont="1" applyFill="1" applyBorder="1" applyAlignment="1">
      <alignment horizontal="center" wrapText="1"/>
    </xf>
    <xf numFmtId="0" fontId="124" fillId="0" borderId="0" xfId="0" applyFont="1" applyAlignment="1">
      <alignment horizontal="left" vertical="center" wrapText="1"/>
    </xf>
    <xf numFmtId="0" fontId="128" fillId="0" borderId="3" xfId="0" applyFont="1" applyBorder="1" applyAlignment="1">
      <alignment horizontal="left" vertical="center" wrapText="1"/>
    </xf>
    <xf numFmtId="0" fontId="128" fillId="0" borderId="0" xfId="0" applyFont="1" applyAlignment="1">
      <alignment horizontal="left" vertical="center" wrapText="1"/>
    </xf>
    <xf numFmtId="0" fontId="118" fillId="0" borderId="0" xfId="0" applyFont="1" applyAlignment="1">
      <alignment horizontal="center" vertical="center"/>
    </xf>
    <xf numFmtId="0" fontId="128" fillId="0" borderId="3" xfId="0" applyFont="1" applyBorder="1" applyAlignment="1">
      <alignment vertical="top" wrapText="1"/>
    </xf>
    <xf numFmtId="0" fontId="128" fillId="0" borderId="3" xfId="0" applyFont="1" applyBorder="1" applyAlignment="1">
      <alignment horizontal="left" vertical="top" wrapText="1"/>
    </xf>
    <xf numFmtId="11" fontId="20" fillId="4" borderId="11" xfId="0" applyNumberFormat="1" applyFont="1" applyFill="1" applyBorder="1" applyAlignment="1" applyProtection="1">
      <alignment horizontal="left"/>
      <protection locked="0"/>
    </xf>
    <xf numFmtId="11" fontId="20" fillId="4" borderId="7" xfId="0" applyNumberFormat="1" applyFont="1" applyFill="1" applyBorder="1" applyAlignment="1" applyProtection="1">
      <alignment horizontal="left"/>
      <protection locked="0"/>
    </xf>
    <xf numFmtId="11" fontId="20" fillId="4" borderId="12" xfId="0" applyNumberFormat="1" applyFont="1" applyFill="1" applyBorder="1" applyAlignment="1" applyProtection="1">
      <alignment horizontal="left"/>
      <protection locked="0"/>
    </xf>
    <xf numFmtId="0" fontId="20" fillId="4" borderId="11" xfId="0" applyFont="1" applyFill="1" applyBorder="1" applyAlignment="1" applyProtection="1">
      <alignment horizontal="left"/>
      <protection locked="0"/>
    </xf>
    <xf numFmtId="0" fontId="20" fillId="4" borderId="7" xfId="0" applyFont="1" applyFill="1" applyBorder="1" applyAlignment="1" applyProtection="1">
      <alignment horizontal="left"/>
      <protection locked="0"/>
    </xf>
    <xf numFmtId="0" fontId="20" fillId="4" borderId="12" xfId="0" applyFont="1" applyFill="1" applyBorder="1" applyAlignment="1" applyProtection="1">
      <alignment horizontal="left"/>
      <protection locked="0"/>
    </xf>
    <xf numFmtId="0" fontId="21" fillId="5" borderId="11" xfId="0" applyFont="1" applyFill="1" applyBorder="1" applyAlignment="1">
      <alignment horizontal="left"/>
    </xf>
    <xf numFmtId="0" fontId="22" fillId="5" borderId="7" xfId="0" applyFont="1" applyFill="1" applyBorder="1" applyAlignment="1">
      <alignment horizontal="left"/>
    </xf>
    <xf numFmtId="0" fontId="22" fillId="5" borderId="12" xfId="0" applyFont="1" applyFill="1" applyBorder="1" applyAlignment="1">
      <alignment horizontal="left"/>
    </xf>
    <xf numFmtId="49" fontId="21" fillId="4" borderId="11" xfId="0" applyNumberFormat="1" applyFont="1" applyFill="1" applyBorder="1" applyAlignment="1" applyProtection="1">
      <alignment horizontal="left"/>
      <protection locked="0"/>
    </xf>
    <xf numFmtId="49" fontId="22" fillId="4" borderId="7" xfId="0" applyNumberFormat="1" applyFont="1" applyFill="1" applyBorder="1" applyProtection="1">
      <protection locked="0"/>
    </xf>
    <xf numFmtId="49" fontId="22" fillId="4" borderId="12" xfId="0" applyNumberFormat="1" applyFont="1" applyFill="1" applyBorder="1" applyProtection="1">
      <protection locked="0"/>
    </xf>
    <xf numFmtId="0" fontId="138" fillId="4" borderId="11" xfId="8" applyFont="1" applyFill="1" applyBorder="1" applyAlignment="1" applyProtection="1">
      <alignment horizontal="left"/>
      <protection locked="0"/>
    </xf>
    <xf numFmtId="0" fontId="62" fillId="4" borderId="7" xfId="0" applyFont="1" applyFill="1" applyBorder="1" applyAlignment="1" applyProtection="1">
      <alignment horizontal="left"/>
      <protection locked="0"/>
    </xf>
    <xf numFmtId="0" fontId="62" fillId="4" borderId="12" xfId="0" applyFont="1" applyFill="1" applyBorder="1" applyAlignment="1" applyProtection="1">
      <alignment horizontal="left"/>
      <protection locked="0"/>
    </xf>
    <xf numFmtId="182" fontId="20" fillId="4" borderId="11" xfId="0" applyNumberFormat="1" applyFont="1" applyFill="1" applyBorder="1" applyAlignment="1" applyProtection="1">
      <alignment horizontal="left"/>
      <protection locked="0"/>
    </xf>
    <xf numFmtId="182" fontId="20" fillId="4" borderId="7" xfId="0" applyNumberFormat="1" applyFont="1" applyFill="1" applyBorder="1" applyAlignment="1" applyProtection="1">
      <alignment horizontal="left"/>
      <protection locked="0"/>
    </xf>
    <xf numFmtId="182" fontId="20" fillId="4" borderId="12" xfId="0" applyNumberFormat="1" applyFont="1" applyFill="1" applyBorder="1" applyAlignment="1" applyProtection="1">
      <alignment horizontal="left"/>
      <protection locked="0"/>
    </xf>
    <xf numFmtId="0" fontId="20" fillId="5" borderId="11" xfId="0" applyFont="1" applyFill="1" applyBorder="1" applyAlignment="1">
      <alignment horizontal="left" wrapText="1"/>
    </xf>
    <xf numFmtId="0" fontId="20" fillId="5" borderId="7" xfId="0" applyFont="1" applyFill="1" applyBorder="1" applyAlignment="1">
      <alignment horizontal="left" wrapText="1"/>
    </xf>
    <xf numFmtId="0" fontId="20" fillId="5" borderId="12" xfId="0" applyFont="1" applyFill="1" applyBorder="1" applyAlignment="1">
      <alignment horizontal="left" wrapText="1"/>
    </xf>
    <xf numFmtId="0" fontId="20" fillId="5" borderId="3" xfId="0" applyFont="1" applyFill="1" applyBorder="1" applyAlignment="1">
      <alignment horizontal="left"/>
    </xf>
    <xf numFmtId="0" fontId="22" fillId="5" borderId="3" xfId="0" applyFont="1" applyFill="1" applyBorder="1"/>
    <xf numFmtId="0" fontId="20" fillId="5" borderId="3" xfId="0" applyFont="1" applyFill="1" applyBorder="1"/>
    <xf numFmtId="0" fontId="111" fillId="5" borderId="11" xfId="0" applyFont="1" applyFill="1" applyBorder="1" applyAlignment="1">
      <alignment horizontal="left" vertical="top" wrapText="1"/>
    </xf>
    <xf numFmtId="0" fontId="111" fillId="5" borderId="7" xfId="0" applyFont="1" applyFill="1" applyBorder="1" applyAlignment="1">
      <alignment horizontal="left" vertical="top" wrapText="1"/>
    </xf>
    <xf numFmtId="0" fontId="111" fillId="5" borderId="12" xfId="0" applyFont="1" applyFill="1" applyBorder="1" applyAlignment="1">
      <alignment horizontal="left" vertical="top" wrapText="1"/>
    </xf>
    <xf numFmtId="181" fontId="21" fillId="5" borderId="11" xfId="0" applyNumberFormat="1" applyFont="1" applyFill="1" applyBorder="1" applyAlignment="1">
      <alignment horizontal="left"/>
    </xf>
    <xf numFmtId="181" fontId="22" fillId="5" borderId="7" xfId="0" applyNumberFormat="1" applyFont="1" applyFill="1" applyBorder="1"/>
    <xf numFmtId="181" fontId="22" fillId="5" borderId="12" xfId="0" applyNumberFormat="1" applyFont="1" applyFill="1" applyBorder="1"/>
    <xf numFmtId="181" fontId="20" fillId="4" borderId="11" xfId="0" applyNumberFormat="1" applyFont="1" applyFill="1" applyBorder="1" applyAlignment="1" applyProtection="1">
      <alignment horizontal="left"/>
      <protection locked="0"/>
    </xf>
    <xf numFmtId="181" fontId="32" fillId="4" borderId="7" xfId="0" applyNumberFormat="1" applyFont="1" applyFill="1" applyBorder="1" applyAlignment="1" applyProtection="1">
      <alignment horizontal="left"/>
      <protection locked="0"/>
    </xf>
    <xf numFmtId="181" fontId="32" fillId="4" borderId="12" xfId="0" applyNumberFormat="1" applyFont="1" applyFill="1" applyBorder="1" applyAlignment="1" applyProtection="1">
      <alignment horizontal="left"/>
      <protection locked="0"/>
    </xf>
    <xf numFmtId="181" fontId="20" fillId="4" borderId="7" xfId="0" applyNumberFormat="1" applyFont="1" applyFill="1" applyBorder="1" applyAlignment="1" applyProtection="1">
      <alignment horizontal="left"/>
      <protection locked="0"/>
    </xf>
    <xf numFmtId="181" fontId="20" fillId="4" borderId="12" xfId="0" applyNumberFormat="1" applyFont="1" applyFill="1" applyBorder="1" applyAlignment="1" applyProtection="1">
      <alignment horizontal="left"/>
      <protection locked="0"/>
    </xf>
    <xf numFmtId="0" fontId="21" fillId="5" borderId="7" xfId="0" applyFont="1" applyFill="1" applyBorder="1" applyAlignment="1">
      <alignment horizontal="left"/>
    </xf>
    <xf numFmtId="0" fontId="21" fillId="5" borderId="12" xfId="0" applyFont="1" applyFill="1" applyBorder="1" applyAlignment="1">
      <alignment horizontal="left"/>
    </xf>
    <xf numFmtId="0" fontId="32" fillId="5" borderId="24" xfId="0" applyFont="1" applyFill="1" applyBorder="1" applyAlignment="1">
      <alignment horizontal="left" wrapText="1"/>
    </xf>
    <xf numFmtId="0" fontId="32" fillId="5" borderId="9" xfId="0" applyFont="1" applyFill="1" applyBorder="1" applyAlignment="1">
      <alignment horizontal="left" wrapText="1"/>
    </xf>
    <xf numFmtId="0" fontId="32" fillId="5" borderId="25" xfId="0" applyFont="1" applyFill="1" applyBorder="1" applyAlignment="1">
      <alignment horizontal="left" wrapText="1"/>
    </xf>
    <xf numFmtId="0" fontId="32" fillId="5" borderId="17" xfId="0" applyFont="1" applyFill="1" applyBorder="1" applyAlignment="1">
      <alignment horizontal="left" wrapText="1"/>
    </xf>
    <xf numFmtId="0" fontId="32" fillId="5" borderId="6" xfId="0" applyFont="1" applyFill="1" applyBorder="1" applyAlignment="1">
      <alignment horizontal="left" wrapText="1"/>
    </xf>
    <xf numFmtId="0" fontId="32" fillId="5" borderId="18" xfId="0" applyFont="1" applyFill="1" applyBorder="1" applyAlignment="1">
      <alignment horizontal="left" wrapText="1"/>
    </xf>
    <xf numFmtId="0" fontId="20" fillId="5" borderId="11" xfId="0" applyFont="1" applyFill="1" applyBorder="1" applyAlignment="1">
      <alignment horizontal="left"/>
    </xf>
    <xf numFmtId="0" fontId="20" fillId="5" borderId="7" xfId="0" applyFont="1" applyFill="1" applyBorder="1" applyAlignment="1">
      <alignment horizontal="left"/>
    </xf>
    <xf numFmtId="0" fontId="20" fillId="5" borderId="12" xfId="0" applyFont="1" applyFill="1" applyBorder="1" applyAlignment="1">
      <alignment horizontal="left"/>
    </xf>
    <xf numFmtId="0" fontId="78" fillId="4" borderId="11" xfId="8" applyFont="1" applyFill="1" applyBorder="1" applyAlignment="1" applyProtection="1">
      <alignment horizontal="left"/>
      <protection locked="0"/>
    </xf>
    <xf numFmtId="0" fontId="78" fillId="4" borderId="7" xfId="8" applyFont="1" applyFill="1" applyBorder="1" applyAlignment="1" applyProtection="1">
      <alignment horizontal="left"/>
      <protection locked="0"/>
    </xf>
    <xf numFmtId="0" fontId="78" fillId="4" borderId="12" xfId="8" applyFont="1" applyFill="1" applyBorder="1" applyAlignment="1" applyProtection="1">
      <alignment horizontal="left"/>
      <protection locked="0"/>
    </xf>
    <xf numFmtId="181" fontId="21" fillId="5" borderId="3" xfId="0" applyNumberFormat="1" applyFont="1" applyFill="1" applyBorder="1" applyAlignment="1">
      <alignment horizontal="left"/>
    </xf>
    <xf numFmtId="181" fontId="21" fillId="5" borderId="3" xfId="0" applyNumberFormat="1" applyFont="1" applyFill="1" applyBorder="1"/>
    <xf numFmtId="0" fontId="63" fillId="4" borderId="3" xfId="0" applyFont="1" applyFill="1" applyBorder="1" applyAlignment="1" applyProtection="1">
      <alignment horizontal="left"/>
      <protection locked="0"/>
    </xf>
    <xf numFmtId="0" fontId="63" fillId="4" borderId="3" xfId="0" applyFont="1" applyFill="1" applyBorder="1" applyProtection="1">
      <protection locked="0"/>
    </xf>
    <xf numFmtId="181" fontId="20" fillId="4" borderId="3" xfId="0" applyNumberFormat="1" applyFont="1" applyFill="1" applyBorder="1" applyAlignment="1" applyProtection="1">
      <alignment horizontal="left"/>
      <protection locked="0"/>
    </xf>
    <xf numFmtId="181" fontId="20" fillId="4" borderId="3" xfId="0" applyNumberFormat="1" applyFont="1" applyFill="1" applyBorder="1" applyProtection="1">
      <protection locked="0"/>
    </xf>
    <xf numFmtId="0" fontId="21" fillId="5" borderId="7" xfId="0" applyFont="1" applyFill="1" applyBorder="1"/>
    <xf numFmtId="0" fontId="21" fillId="5" borderId="12" xfId="0" applyFont="1" applyFill="1" applyBorder="1"/>
    <xf numFmtId="0" fontId="21" fillId="5" borderId="3" xfId="0" applyFont="1" applyFill="1" applyBorder="1" applyAlignment="1">
      <alignment horizontal="left"/>
    </xf>
    <xf numFmtId="0" fontId="20" fillId="5" borderId="7" xfId="0" applyFont="1" applyFill="1" applyBorder="1" applyAlignment="1">
      <alignment wrapText="1"/>
    </xf>
    <xf numFmtId="0" fontId="20" fillId="5" borderId="12" xfId="0" applyFont="1" applyFill="1" applyBorder="1" applyAlignment="1">
      <alignment wrapText="1"/>
    </xf>
    <xf numFmtId="0" fontId="20" fillId="4" borderId="3" xfId="0" applyFont="1" applyFill="1" applyBorder="1" applyAlignment="1" applyProtection="1">
      <alignment horizontal="left"/>
      <protection locked="0"/>
    </xf>
    <xf numFmtId="0" fontId="20" fillId="4" borderId="3" xfId="0" applyFont="1" applyFill="1" applyBorder="1" applyProtection="1">
      <protection locked="0"/>
    </xf>
    <xf numFmtId="182" fontId="20" fillId="4" borderId="3" xfId="0" applyNumberFormat="1" applyFont="1" applyFill="1" applyBorder="1" applyAlignment="1" applyProtection="1">
      <alignment horizontal="left"/>
      <protection locked="0"/>
    </xf>
    <xf numFmtId="182" fontId="20" fillId="4" borderId="3" xfId="0" applyNumberFormat="1" applyFont="1" applyFill="1" applyBorder="1" applyProtection="1">
      <protection locked="0"/>
    </xf>
    <xf numFmtId="0" fontId="0" fillId="5" borderId="7" xfId="0" applyFill="1" applyBorder="1" applyAlignment="1">
      <alignment horizontal="left"/>
    </xf>
    <xf numFmtId="0" fontId="0" fillId="5" borderId="12" xfId="0" applyFill="1" applyBorder="1" applyAlignment="1">
      <alignment horizontal="left"/>
    </xf>
    <xf numFmtId="181" fontId="0" fillId="5" borderId="7" xfId="0" applyNumberFormat="1" applyFill="1" applyBorder="1" applyAlignment="1">
      <alignment horizontal="left"/>
    </xf>
    <xf numFmtId="181" fontId="0" fillId="5" borderId="12" xfId="0" applyNumberFormat="1" applyFill="1" applyBorder="1" applyAlignment="1">
      <alignment horizontal="left"/>
    </xf>
    <xf numFmtId="181" fontId="0" fillId="5" borderId="7" xfId="0" applyNumberFormat="1" applyFill="1" applyBorder="1"/>
    <xf numFmtId="181" fontId="0" fillId="5" borderId="12" xfId="0" applyNumberFormat="1" applyFill="1" applyBorder="1"/>
    <xf numFmtId="0" fontId="0" fillId="5" borderId="3" xfId="0" applyFill="1" applyBorder="1"/>
    <xf numFmtId="0" fontId="22" fillId="5" borderId="3" xfId="0" applyFont="1" applyFill="1" applyBorder="1" applyAlignment="1">
      <alignment horizontal="center" wrapText="1"/>
    </xf>
    <xf numFmtId="0" fontId="22" fillId="4" borderId="3" xfId="0" applyFont="1" applyFill="1" applyBorder="1" applyAlignment="1" applyProtection="1">
      <alignment horizontal="left" wrapText="1"/>
      <protection locked="0"/>
    </xf>
    <xf numFmtId="0" fontId="32" fillId="5" borderId="3" xfId="0" applyFont="1" applyFill="1" applyBorder="1" applyAlignment="1">
      <alignment horizontal="left"/>
    </xf>
    <xf numFmtId="0" fontId="0" fillId="5" borderId="11" xfId="0" applyFill="1" applyBorder="1"/>
    <xf numFmtId="181" fontId="20" fillId="4" borderId="3" xfId="8" applyNumberFormat="1" applyFont="1" applyFill="1" applyBorder="1" applyAlignment="1" applyProtection="1">
      <alignment horizontal="left"/>
      <protection locked="0"/>
    </xf>
    <xf numFmtId="0" fontId="22" fillId="5" borderId="3" xfId="0" applyFont="1" applyFill="1" applyBorder="1" applyAlignment="1">
      <alignment horizontal="left"/>
    </xf>
    <xf numFmtId="0" fontId="0" fillId="5" borderId="3" xfId="0" applyFill="1" applyBorder="1" applyAlignment="1">
      <alignment horizontal="left"/>
    </xf>
    <xf numFmtId="0" fontId="22" fillId="4" borderId="11" xfId="0" applyFont="1" applyFill="1" applyBorder="1" applyAlignment="1" applyProtection="1">
      <alignment horizontal="left" vertical="top" wrapText="1"/>
      <protection locked="0"/>
    </xf>
    <xf numFmtId="0" fontId="22" fillId="4" borderId="7" xfId="0" applyFont="1" applyFill="1" applyBorder="1" applyAlignment="1" applyProtection="1">
      <alignment horizontal="left" vertical="top" wrapText="1"/>
      <protection locked="0"/>
    </xf>
    <xf numFmtId="0" fontId="22" fillId="4" borderId="12" xfId="0" applyFont="1" applyFill="1" applyBorder="1" applyAlignment="1" applyProtection="1">
      <alignment horizontal="left" vertical="top" wrapText="1"/>
      <protection locked="0"/>
    </xf>
    <xf numFmtId="0" fontId="81" fillId="5" borderId="24" xfId="0" applyFont="1" applyFill="1" applyBorder="1" applyAlignment="1">
      <alignment horizontal="center" wrapText="1"/>
    </xf>
    <xf numFmtId="0" fontId="81" fillId="5" borderId="25" xfId="0" applyFont="1" applyFill="1" applyBorder="1" applyAlignment="1">
      <alignment horizontal="center" wrapText="1"/>
    </xf>
    <xf numFmtId="0" fontId="63" fillId="4" borderId="3" xfId="8" applyFont="1" applyFill="1" applyBorder="1" applyAlignment="1" applyProtection="1">
      <alignment horizontal="left"/>
      <protection locked="0"/>
    </xf>
    <xf numFmtId="0" fontId="32" fillId="5" borderId="11" xfId="0" applyFont="1" applyFill="1" applyBorder="1"/>
    <xf numFmtId="0" fontId="32" fillId="5" borderId="7" xfId="0" applyFont="1" applyFill="1" applyBorder="1"/>
    <xf numFmtId="0" fontId="0" fillId="5" borderId="7" xfId="0" applyFill="1" applyBorder="1"/>
    <xf numFmtId="0" fontId="32" fillId="5" borderId="3" xfId="0" applyFont="1" applyFill="1" applyBorder="1"/>
    <xf numFmtId="0" fontId="22" fillId="4" borderId="24" xfId="0" applyFont="1" applyFill="1" applyBorder="1" applyAlignment="1" applyProtection="1">
      <alignment horizontal="left" vertical="top" wrapText="1"/>
      <protection locked="0"/>
    </xf>
    <xf numFmtId="0" fontId="22" fillId="4" borderId="9" xfId="0" applyFont="1" applyFill="1" applyBorder="1" applyAlignment="1" applyProtection="1">
      <alignment horizontal="left" vertical="top" wrapText="1"/>
      <protection locked="0"/>
    </xf>
    <xf numFmtId="0" fontId="22" fillId="4" borderId="25" xfId="0" applyFont="1" applyFill="1" applyBorder="1" applyAlignment="1" applyProtection="1">
      <alignment horizontal="left" vertical="top" wrapText="1"/>
      <protection locked="0"/>
    </xf>
    <xf numFmtId="0" fontId="22" fillId="4" borderId="15" xfId="0" applyFont="1" applyFill="1" applyBorder="1" applyAlignment="1" applyProtection="1">
      <alignment horizontal="left" vertical="top" wrapText="1"/>
      <protection locked="0"/>
    </xf>
    <xf numFmtId="0" fontId="22" fillId="4" borderId="0" xfId="0" applyFont="1" applyFill="1" applyAlignment="1" applyProtection="1">
      <alignment horizontal="left" vertical="top" wrapText="1"/>
      <protection locked="0"/>
    </xf>
    <xf numFmtId="0" fontId="22" fillId="4" borderId="14" xfId="0" applyFont="1" applyFill="1" applyBorder="1" applyAlignment="1" applyProtection="1">
      <alignment horizontal="left" vertical="top" wrapText="1"/>
      <protection locked="0"/>
    </xf>
    <xf numFmtId="0" fontId="22" fillId="4" borderId="17" xfId="0" applyFont="1" applyFill="1" applyBorder="1" applyAlignment="1" applyProtection="1">
      <alignment horizontal="left" vertical="top" wrapText="1"/>
      <protection locked="0"/>
    </xf>
    <xf numFmtId="0" fontId="22" fillId="4" borderId="6" xfId="0" applyFont="1" applyFill="1" applyBorder="1" applyAlignment="1" applyProtection="1">
      <alignment horizontal="left" vertical="top" wrapText="1"/>
      <protection locked="0"/>
    </xf>
    <xf numFmtId="0" fontId="22" fillId="4" borderId="18" xfId="0" applyFont="1" applyFill="1" applyBorder="1" applyAlignment="1" applyProtection="1">
      <alignment horizontal="left" vertical="top" wrapText="1"/>
      <protection locked="0"/>
    </xf>
    <xf numFmtId="0" fontId="22" fillId="5" borderId="0" xfId="0" applyFont="1" applyFill="1" applyAlignment="1">
      <alignment horizontal="left" vertical="top" wrapText="1"/>
    </xf>
    <xf numFmtId="0" fontId="105" fillId="5" borderId="11" xfId="168" applyFont="1" applyFill="1" applyBorder="1" applyAlignment="1">
      <alignment horizontal="center"/>
    </xf>
    <xf numFmtId="0" fontId="105" fillId="5" borderId="7" xfId="168" applyFont="1" applyFill="1" applyBorder="1" applyAlignment="1">
      <alignment horizontal="center"/>
    </xf>
    <xf numFmtId="0" fontId="105" fillId="5" borderId="12" xfId="168" applyFont="1" applyFill="1" applyBorder="1" applyAlignment="1">
      <alignment horizontal="center"/>
    </xf>
    <xf numFmtId="0" fontId="51" fillId="5" borderId="11" xfId="98" applyFont="1" applyFill="1" applyBorder="1" applyAlignment="1">
      <alignment horizontal="center"/>
    </xf>
    <xf numFmtId="0" fontId="51" fillId="5" borderId="7" xfId="98" applyFont="1" applyFill="1" applyBorder="1" applyAlignment="1">
      <alignment horizontal="center"/>
    </xf>
    <xf numFmtId="0" fontId="51" fillId="5" borderId="12" xfId="98" applyFont="1" applyFill="1" applyBorder="1" applyAlignment="1">
      <alignment horizontal="center"/>
    </xf>
    <xf numFmtId="0" fontId="51" fillId="5" borderId="24" xfId="98" applyFont="1" applyFill="1" applyBorder="1" applyAlignment="1">
      <alignment horizontal="center"/>
    </xf>
    <xf numFmtId="0" fontId="51" fillId="5" borderId="25" xfId="98" applyFont="1" applyFill="1" applyBorder="1" applyAlignment="1">
      <alignment horizontal="center"/>
    </xf>
    <xf numFmtId="181" fontId="32" fillId="4" borderId="3" xfId="0" applyNumberFormat="1" applyFont="1" applyFill="1" applyBorder="1" applyAlignment="1" applyProtection="1">
      <alignment horizontal="left"/>
      <protection locked="0"/>
    </xf>
    <xf numFmtId="0" fontId="22" fillId="5" borderId="3" xfId="0" applyFont="1" applyFill="1" applyBorder="1" applyAlignment="1">
      <alignment horizontal="left" wrapText="1"/>
    </xf>
    <xf numFmtId="0" fontId="32" fillId="5" borderId="3" xfId="0" applyFont="1" applyFill="1" applyBorder="1" applyAlignment="1">
      <alignment horizontal="left" wrapText="1"/>
    </xf>
    <xf numFmtId="49" fontId="32" fillId="4" borderId="3" xfId="0" applyNumberFormat="1" applyFont="1" applyFill="1" applyBorder="1" applyAlignment="1" applyProtection="1">
      <alignment horizontal="left"/>
      <protection locked="0"/>
    </xf>
    <xf numFmtId="182" fontId="32" fillId="4" borderId="3" xfId="0" applyNumberFormat="1" applyFont="1" applyFill="1" applyBorder="1" applyAlignment="1" applyProtection="1">
      <alignment horizontal="left"/>
      <protection locked="0"/>
    </xf>
    <xf numFmtId="0" fontId="77" fillId="4" borderId="3" xfId="0" applyFont="1" applyFill="1" applyBorder="1" applyAlignment="1" applyProtection="1">
      <alignment horizontal="left"/>
      <protection locked="0"/>
    </xf>
    <xf numFmtId="182" fontId="32" fillId="4" borderId="11" xfId="0" applyNumberFormat="1" applyFont="1" applyFill="1" applyBorder="1" applyAlignment="1" applyProtection="1">
      <alignment horizontal="left"/>
      <protection locked="0"/>
    </xf>
    <xf numFmtId="182" fontId="32" fillId="4" borderId="7" xfId="0" applyNumberFormat="1" applyFont="1" applyFill="1" applyBorder="1" applyAlignment="1" applyProtection="1">
      <alignment horizontal="left"/>
      <protection locked="0"/>
    </xf>
    <xf numFmtId="182" fontId="32" fillId="4" borderId="12" xfId="0" applyNumberFormat="1" applyFont="1" applyFill="1" applyBorder="1" applyAlignment="1" applyProtection="1">
      <alignment horizontal="left"/>
      <protection locked="0"/>
    </xf>
    <xf numFmtId="0" fontId="77" fillId="4" borderId="11" xfId="0" applyFont="1" applyFill="1" applyBorder="1" applyAlignment="1" applyProtection="1">
      <alignment horizontal="left"/>
      <protection locked="0"/>
    </xf>
    <xf numFmtId="0" fontId="77" fillId="4" borderId="7" xfId="0" applyFont="1" applyFill="1" applyBorder="1" applyAlignment="1" applyProtection="1">
      <alignment horizontal="left"/>
      <protection locked="0"/>
    </xf>
    <xf numFmtId="0" fontId="77" fillId="4" borderId="12" xfId="0" applyFont="1" applyFill="1" applyBorder="1" applyAlignment="1" applyProtection="1">
      <alignment horizontal="left"/>
      <protection locked="0"/>
    </xf>
    <xf numFmtId="181" fontId="32" fillId="4" borderId="11" xfId="0" applyNumberFormat="1" applyFont="1" applyFill="1" applyBorder="1" applyAlignment="1" applyProtection="1">
      <alignment horizontal="left"/>
      <protection locked="0"/>
    </xf>
    <xf numFmtId="0" fontId="22" fillId="5" borderId="11" xfId="0" applyFont="1" applyFill="1" applyBorder="1" applyAlignment="1">
      <alignment horizontal="left" wrapText="1"/>
    </xf>
    <xf numFmtId="0" fontId="22" fillId="5" borderId="7" xfId="0" applyFont="1" applyFill="1" applyBorder="1" applyAlignment="1">
      <alignment horizontal="left" wrapText="1"/>
    </xf>
    <xf numFmtId="0" fontId="22" fillId="5" borderId="12" xfId="0" applyFont="1" applyFill="1" applyBorder="1" applyAlignment="1">
      <alignment horizontal="left" wrapText="1"/>
    </xf>
    <xf numFmtId="0" fontId="22" fillId="5" borderId="0" xfId="0" applyFont="1" applyFill="1" applyAlignment="1">
      <alignment horizontal="left" wrapText="1"/>
    </xf>
    <xf numFmtId="0" fontId="32" fillId="5" borderId="11" xfId="0" applyFont="1" applyFill="1" applyBorder="1" applyAlignment="1">
      <alignment horizontal="left"/>
    </xf>
    <xf numFmtId="0" fontId="32" fillId="5" borderId="7" xfId="0" applyFont="1" applyFill="1" applyBorder="1" applyAlignment="1">
      <alignment horizontal="left"/>
    </xf>
    <xf numFmtId="0" fontId="32" fillId="5" borderId="12" xfId="0" applyFont="1" applyFill="1" applyBorder="1" applyAlignment="1">
      <alignment horizontal="left"/>
    </xf>
    <xf numFmtId="0" fontId="32" fillId="5" borderId="11" xfId="0" applyFont="1" applyFill="1" applyBorder="1" applyAlignment="1">
      <alignment horizontal="left" wrapText="1"/>
    </xf>
    <xf numFmtId="0" fontId="32" fillId="5" borderId="7" xfId="0" applyFont="1" applyFill="1" applyBorder="1" applyAlignment="1">
      <alignment horizontal="left" wrapText="1"/>
    </xf>
    <xf numFmtId="0" fontId="32" fillId="5" borderId="12" xfId="0" applyFont="1" applyFill="1" applyBorder="1" applyAlignment="1">
      <alignment horizontal="left" wrapText="1"/>
    </xf>
    <xf numFmtId="49" fontId="32" fillId="4" borderId="24" xfId="0" applyNumberFormat="1" applyFont="1" applyFill="1" applyBorder="1" applyAlignment="1" applyProtection="1">
      <alignment horizontal="left"/>
      <protection locked="0"/>
    </xf>
    <xf numFmtId="49" fontId="32" fillId="4" borderId="9" xfId="0" applyNumberFormat="1" applyFont="1" applyFill="1" applyBorder="1" applyAlignment="1" applyProtection="1">
      <alignment horizontal="left"/>
      <protection locked="0"/>
    </xf>
    <xf numFmtId="49" fontId="32" fillId="4" borderId="25" xfId="0" applyNumberFormat="1" applyFont="1" applyFill="1" applyBorder="1" applyAlignment="1" applyProtection="1">
      <alignment horizontal="left"/>
      <protection locked="0"/>
    </xf>
    <xf numFmtId="0" fontId="22" fillId="2" borderId="11" xfId="9" applyFont="1" applyFill="1" applyBorder="1" applyAlignment="1" applyProtection="1">
      <alignment vertical="top" wrapText="1"/>
      <protection locked="0"/>
    </xf>
    <xf numFmtId="0" fontId="22" fillId="2" borderId="7" xfId="9" applyFont="1" applyFill="1" applyBorder="1" applyAlignment="1" applyProtection="1">
      <alignment vertical="top" wrapText="1"/>
      <protection locked="0"/>
    </xf>
    <xf numFmtId="0" fontId="22" fillId="0" borderId="7" xfId="9" applyFont="1" applyBorder="1" applyAlignment="1" applyProtection="1">
      <alignment vertical="top" wrapText="1"/>
      <protection locked="0"/>
    </xf>
    <xf numFmtId="0" fontId="22" fillId="0" borderId="12" xfId="9" applyFont="1" applyBorder="1" applyAlignment="1" applyProtection="1">
      <alignment vertical="top" wrapText="1"/>
      <protection locked="0"/>
    </xf>
    <xf numFmtId="0" fontId="64" fillId="2" borderId="11" xfId="0" applyFont="1" applyFill="1" applyBorder="1" applyAlignment="1" applyProtection="1">
      <alignment horizontal="left"/>
      <protection locked="0"/>
    </xf>
    <xf numFmtId="0" fontId="64" fillId="2" borderId="7" xfId="0" applyFont="1" applyFill="1" applyBorder="1" applyAlignment="1" applyProtection="1">
      <alignment horizontal="left"/>
      <protection locked="0"/>
    </xf>
    <xf numFmtId="0" fontId="64" fillId="2" borderId="12" xfId="0" applyFont="1" applyFill="1" applyBorder="1" applyAlignment="1" applyProtection="1">
      <alignment horizontal="left"/>
      <protection locked="0"/>
    </xf>
    <xf numFmtId="181" fontId="29" fillId="2" borderId="11" xfId="0" applyNumberFormat="1" applyFont="1" applyFill="1" applyBorder="1" applyAlignment="1" applyProtection="1">
      <alignment horizontal="left"/>
      <protection locked="0"/>
    </xf>
    <xf numFmtId="181" fontId="29" fillId="2" borderId="7" xfId="0" applyNumberFormat="1" applyFont="1" applyFill="1" applyBorder="1" applyAlignment="1" applyProtection="1">
      <alignment horizontal="left"/>
      <protection locked="0"/>
    </xf>
    <xf numFmtId="181" fontId="29" fillId="2" borderId="12" xfId="0" applyNumberFormat="1" applyFont="1" applyFill="1" applyBorder="1" applyAlignment="1" applyProtection="1">
      <alignment horizontal="left"/>
      <protection locked="0"/>
    </xf>
    <xf numFmtId="0" fontId="29" fillId="5" borderId="11" xfId="0" applyFont="1" applyFill="1" applyBorder="1" applyAlignment="1">
      <alignment horizontal="left"/>
    </xf>
    <xf numFmtId="0" fontId="29" fillId="5" borderId="7" xfId="0" applyFont="1" applyFill="1" applyBorder="1" applyAlignment="1">
      <alignment horizontal="left"/>
    </xf>
    <xf numFmtId="0" fontId="29" fillId="5" borderId="12" xfId="0" applyFont="1" applyFill="1" applyBorder="1" applyAlignment="1">
      <alignment horizontal="left"/>
    </xf>
    <xf numFmtId="0" fontId="29" fillId="5" borderId="11" xfId="0" applyFont="1" applyFill="1" applyBorder="1" applyAlignment="1">
      <alignment horizontal="left" wrapText="1"/>
    </xf>
    <xf numFmtId="0" fontId="29" fillId="5" borderId="7" xfId="0" applyFont="1" applyFill="1" applyBorder="1" applyAlignment="1">
      <alignment horizontal="left" wrapText="1"/>
    </xf>
    <xf numFmtId="0" fontId="29" fillId="5" borderId="12" xfId="0" applyFont="1" applyFill="1" applyBorder="1" applyAlignment="1">
      <alignment horizontal="left" wrapText="1"/>
    </xf>
    <xf numFmtId="49" fontId="29" fillId="2" borderId="11" xfId="0" applyNumberFormat="1" applyFont="1" applyFill="1" applyBorder="1" applyAlignment="1" applyProtection="1">
      <alignment horizontal="left"/>
      <protection locked="0"/>
    </xf>
    <xf numFmtId="49" fontId="29" fillId="2" borderId="7" xfId="0" applyNumberFormat="1" applyFont="1" applyFill="1" applyBorder="1" applyAlignment="1" applyProtection="1">
      <alignment horizontal="left"/>
      <protection locked="0"/>
    </xf>
    <xf numFmtId="49" fontId="29" fillId="2" borderId="12" xfId="0" applyNumberFormat="1" applyFont="1" applyFill="1" applyBorder="1" applyAlignment="1" applyProtection="1">
      <alignment horizontal="left"/>
      <protection locked="0"/>
    </xf>
    <xf numFmtId="182" fontId="29" fillId="2" borderId="11" xfId="0" applyNumberFormat="1" applyFont="1" applyFill="1" applyBorder="1" applyAlignment="1" applyProtection="1">
      <alignment horizontal="left"/>
      <protection locked="0"/>
    </xf>
    <xf numFmtId="182" fontId="29" fillId="2" borderId="7" xfId="0" applyNumberFormat="1" applyFont="1" applyFill="1" applyBorder="1" applyAlignment="1" applyProtection="1">
      <alignment horizontal="left"/>
      <protection locked="0"/>
    </xf>
    <xf numFmtId="182" fontId="29" fillId="2" borderId="12" xfId="0" applyNumberFormat="1" applyFont="1" applyFill="1" applyBorder="1" applyAlignment="1" applyProtection="1">
      <alignment horizontal="left"/>
      <protection locked="0"/>
    </xf>
    <xf numFmtId="0" fontId="0" fillId="5" borderId="12" xfId="0" applyFill="1" applyBorder="1"/>
    <xf numFmtId="37" fontId="22" fillId="5" borderId="11" xfId="10" applyFont="1" applyFill="1" applyBorder="1" applyAlignment="1">
      <alignment wrapText="1"/>
    </xf>
    <xf numFmtId="0" fontId="22" fillId="5" borderId="7" xfId="0" applyFont="1" applyFill="1" applyBorder="1" applyAlignment="1">
      <alignment wrapText="1"/>
    </xf>
    <xf numFmtId="0" fontId="22" fillId="5" borderId="12" xfId="0" applyFont="1" applyFill="1" applyBorder="1" applyAlignment="1">
      <alignment wrapText="1"/>
    </xf>
    <xf numFmtId="38" fontId="64" fillId="4" borderId="11" xfId="16" applyNumberFormat="1" applyFont="1" applyFill="1" applyBorder="1" applyAlignment="1" applyProtection="1">
      <alignment horizontal="left" vertical="top"/>
      <protection locked="0"/>
    </xf>
    <xf numFmtId="0" fontId="65" fillId="4" borderId="7" xfId="0" applyFont="1" applyFill="1" applyBorder="1" applyProtection="1">
      <protection locked="0"/>
    </xf>
    <xf numFmtId="0" fontId="65" fillId="4" borderId="12" xfId="0" applyFont="1" applyFill="1" applyBorder="1" applyProtection="1">
      <protection locked="0"/>
    </xf>
    <xf numFmtId="181" fontId="29" fillId="4" borderId="11" xfId="0" applyNumberFormat="1" applyFont="1" applyFill="1" applyBorder="1" applyAlignment="1" applyProtection="1">
      <alignment horizontal="left" vertical="top"/>
      <protection locked="0"/>
    </xf>
    <xf numFmtId="181" fontId="41" fillId="4" borderId="7" xfId="0" applyNumberFormat="1" applyFont="1" applyFill="1" applyBorder="1" applyProtection="1">
      <protection locked="0"/>
    </xf>
    <xf numFmtId="181" fontId="41" fillId="4" borderId="12" xfId="0" applyNumberFormat="1" applyFont="1" applyFill="1" applyBorder="1" applyProtection="1">
      <protection locked="0"/>
    </xf>
    <xf numFmtId="38" fontId="27" fillId="5" borderId="11" xfId="16" applyNumberFormat="1" applyFont="1" applyFill="1" applyBorder="1" applyAlignment="1">
      <alignment horizontal="left" vertical="top"/>
    </xf>
    <xf numFmtId="38" fontId="29" fillId="5" borderId="11" xfId="16" applyNumberFormat="1" applyFont="1" applyFill="1" applyBorder="1" applyAlignment="1">
      <alignment horizontal="left" vertical="top" wrapText="1"/>
    </xf>
    <xf numFmtId="0" fontId="41" fillId="5" borderId="7" xfId="0" applyFont="1" applyFill="1" applyBorder="1" applyAlignment="1">
      <alignment wrapText="1"/>
    </xf>
    <xf numFmtId="0" fontId="41" fillId="5" borderId="12" xfId="0" applyFont="1" applyFill="1" applyBorder="1" applyAlignment="1">
      <alignment wrapText="1"/>
    </xf>
    <xf numFmtId="38" fontId="29" fillId="5" borderId="11" xfId="16" applyNumberFormat="1" applyFont="1" applyFill="1" applyBorder="1" applyAlignment="1">
      <alignment horizontal="left" wrapText="1"/>
    </xf>
    <xf numFmtId="38" fontId="29" fillId="4" borderId="11" xfId="16" applyNumberFormat="1" applyFont="1" applyFill="1" applyBorder="1" applyAlignment="1" applyProtection="1">
      <alignment horizontal="left" vertical="top" wrapText="1"/>
      <protection locked="0"/>
    </xf>
    <xf numFmtId="0" fontId="41" fillId="4" borderId="7" xfId="0" applyFont="1" applyFill="1" applyBorder="1" applyAlignment="1" applyProtection="1">
      <alignment wrapText="1"/>
      <protection locked="0"/>
    </xf>
    <xf numFmtId="0" fontId="41" fillId="4" borderId="12" xfId="0" applyFont="1" applyFill="1" applyBorder="1" applyAlignment="1" applyProtection="1">
      <alignment wrapText="1"/>
      <protection locked="0"/>
    </xf>
    <xf numFmtId="182" fontId="29" fillId="4" borderId="11" xfId="16" applyNumberFormat="1" applyFont="1" applyFill="1" applyBorder="1" applyAlignment="1" applyProtection="1">
      <alignment horizontal="left" vertical="top"/>
      <protection locked="0"/>
    </xf>
    <xf numFmtId="182" fontId="41" fillId="4" borderId="7" xfId="0" applyNumberFormat="1" applyFont="1" applyFill="1" applyBorder="1" applyProtection="1">
      <protection locked="0"/>
    </xf>
    <xf numFmtId="182" fontId="41" fillId="4" borderId="12" xfId="0" applyNumberFormat="1" applyFont="1" applyFill="1" applyBorder="1" applyProtection="1">
      <protection locked="0"/>
    </xf>
    <xf numFmtId="0" fontId="77" fillId="4" borderId="3" xfId="15" applyFont="1" applyFill="1" applyBorder="1" applyAlignment="1" applyProtection="1">
      <alignment horizontal="left" vertical="top"/>
      <protection locked="0"/>
    </xf>
    <xf numFmtId="181" fontId="32" fillId="4" borderId="3" xfId="15" applyNumberFormat="1" applyFont="1" applyFill="1" applyBorder="1" applyAlignment="1" applyProtection="1">
      <alignment horizontal="left" vertical="top"/>
      <protection locked="0"/>
    </xf>
    <xf numFmtId="0" fontId="22" fillId="5" borderId="11" xfId="15" applyFont="1" applyFill="1" applyBorder="1" applyAlignment="1">
      <alignment horizontal="left" wrapText="1"/>
    </xf>
    <xf numFmtId="0" fontId="22" fillId="5" borderId="7" xfId="15" applyFont="1" applyFill="1" applyBorder="1" applyAlignment="1">
      <alignment horizontal="left" wrapText="1"/>
    </xf>
    <xf numFmtId="0" fontId="22" fillId="5" borderId="12" xfId="15" applyFont="1" applyFill="1" applyBorder="1" applyAlignment="1">
      <alignment horizontal="left" wrapText="1"/>
    </xf>
    <xf numFmtId="0" fontId="32" fillId="5" borderId="3" xfId="15" applyFont="1" applyFill="1" applyBorder="1" applyAlignment="1">
      <alignment horizontal="left" vertical="top"/>
    </xf>
    <xf numFmtId="0" fontId="32" fillId="5" borderId="11" xfId="15" applyFont="1" applyFill="1" applyBorder="1" applyAlignment="1">
      <alignment horizontal="left" wrapText="1"/>
    </xf>
    <xf numFmtId="0" fontId="32" fillId="5" borderId="7" xfId="15" applyFont="1" applyFill="1" applyBorder="1" applyAlignment="1">
      <alignment horizontal="left" wrapText="1"/>
    </xf>
    <xf numFmtId="0" fontId="32" fillId="5" borderId="12" xfId="15" applyFont="1" applyFill="1" applyBorder="1" applyAlignment="1">
      <alignment horizontal="left" wrapText="1"/>
    </xf>
    <xf numFmtId="0" fontId="32" fillId="4" borderId="3" xfId="15" applyFont="1" applyFill="1" applyBorder="1" applyAlignment="1" applyProtection="1">
      <alignment horizontal="left" vertical="top"/>
      <protection locked="0"/>
    </xf>
    <xf numFmtId="182" fontId="32" fillId="4" borderId="3" xfId="15" applyNumberFormat="1" applyFont="1" applyFill="1" applyBorder="1" applyAlignment="1" applyProtection="1">
      <alignment horizontal="left" vertical="top"/>
      <protection locked="0"/>
    </xf>
    <xf numFmtId="0" fontId="32" fillId="5" borderId="6" xfId="13" applyFont="1" applyFill="1" applyBorder="1" applyAlignment="1">
      <alignment horizontal="left" wrapText="1"/>
    </xf>
    <xf numFmtId="0" fontId="32" fillId="0" borderId="6" xfId="13" applyFont="1" applyBorder="1" applyAlignment="1">
      <alignment horizontal="left" wrapText="1"/>
    </xf>
    <xf numFmtId="0" fontId="22" fillId="0" borderId="3" xfId="13" applyFont="1" applyBorder="1" applyAlignment="1">
      <alignment vertical="top" wrapText="1"/>
    </xf>
    <xf numFmtId="0" fontId="84" fillId="0" borderId="3" xfId="13" applyFont="1" applyBorder="1" applyAlignment="1">
      <alignment vertical="top" wrapText="1"/>
    </xf>
    <xf numFmtId="0" fontId="88" fillId="5" borderId="3" xfId="17" applyFont="1" applyFill="1" applyBorder="1" applyAlignment="1">
      <alignment horizontal="left" vertical="top" wrapText="1"/>
    </xf>
    <xf numFmtId="0" fontId="88" fillId="5" borderId="11" xfId="17" applyFont="1" applyFill="1" applyBorder="1" applyAlignment="1">
      <alignment horizontal="left" vertical="top" wrapText="1"/>
    </xf>
    <xf numFmtId="0" fontId="22" fillId="5" borderId="11" xfId="35" applyFont="1" applyFill="1" applyBorder="1" applyAlignment="1">
      <alignment vertical="top" wrapText="1"/>
    </xf>
    <xf numFmtId="0" fontId="22" fillId="5" borderId="7" xfId="35" applyFont="1" applyFill="1" applyBorder="1" applyAlignment="1">
      <alignment vertical="top" wrapText="1"/>
    </xf>
    <xf numFmtId="0" fontId="22" fillId="5" borderId="12" xfId="35" applyFont="1" applyFill="1" applyBorder="1" applyAlignment="1">
      <alignment vertical="top" wrapText="1"/>
    </xf>
    <xf numFmtId="0" fontId="93" fillId="5" borderId="11" xfId="13" applyFont="1" applyFill="1" applyBorder="1" applyAlignment="1">
      <alignment vertical="top" wrapText="1"/>
    </xf>
    <xf numFmtId="0" fontId="88" fillId="5" borderId="7" xfId="34" applyFont="1" applyFill="1" applyBorder="1" applyAlignment="1">
      <alignment wrapText="1"/>
    </xf>
    <xf numFmtId="0" fontId="88" fillId="5" borderId="25" xfId="34" applyFont="1" applyFill="1" applyBorder="1" applyAlignment="1">
      <alignment wrapText="1"/>
    </xf>
    <xf numFmtId="0" fontId="22" fillId="5" borderId="15" xfId="0" applyFont="1" applyFill="1" applyBorder="1" applyAlignment="1">
      <alignment horizontal="right" wrapText="1"/>
    </xf>
    <xf numFmtId="0" fontId="0" fillId="5" borderId="0" xfId="0" applyFill="1" applyAlignment="1">
      <alignment wrapText="1"/>
    </xf>
    <xf numFmtId="0" fontId="22" fillId="2" borderId="3" xfId="0" applyFont="1" applyFill="1" applyBorder="1" applyAlignment="1" applyProtection="1">
      <alignment wrapText="1"/>
      <protection locked="0"/>
    </xf>
    <xf numFmtId="0" fontId="0" fillId="0" borderId="3" xfId="0" applyBorder="1" applyAlignment="1" applyProtection="1">
      <alignment wrapText="1"/>
      <protection locked="0"/>
    </xf>
    <xf numFmtId="0" fontId="22" fillId="5" borderId="24" xfId="0" applyFont="1" applyFill="1" applyBorder="1" applyAlignment="1">
      <alignment horizontal="right" vertical="top"/>
    </xf>
    <xf numFmtId="0" fontId="22" fillId="5" borderId="25" xfId="0" applyFont="1" applyFill="1" applyBorder="1" applyAlignment="1">
      <alignment horizontal="right" vertical="top"/>
    </xf>
    <xf numFmtId="0" fontId="22" fillId="5" borderId="3" xfId="0" applyFont="1" applyFill="1" applyBorder="1" applyAlignment="1">
      <alignment horizontal="right" vertical="top" wrapText="1"/>
    </xf>
    <xf numFmtId="0" fontId="22" fillId="5" borderId="11" xfId="0" applyFont="1" applyFill="1" applyBorder="1" applyAlignment="1">
      <alignment horizontal="right" vertical="center" wrapText="1"/>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47" fillId="5" borderId="0" xfId="13" applyFont="1" applyFill="1" applyAlignment="1">
      <alignment vertical="top" wrapText="1"/>
    </xf>
    <xf numFmtId="0" fontId="22" fillId="5" borderId="0" xfId="17" applyFont="1" applyFill="1" applyAlignment="1">
      <alignment wrapText="1"/>
    </xf>
    <xf numFmtId="0" fontId="22" fillId="5" borderId="3" xfId="0" applyFont="1" applyFill="1" applyBorder="1" applyAlignment="1">
      <alignment horizontal="right" wrapText="1"/>
    </xf>
    <xf numFmtId="0" fontId="0" fillId="5" borderId="3" xfId="0" applyFill="1" applyBorder="1" applyAlignment="1">
      <alignment wrapText="1"/>
    </xf>
    <xf numFmtId="0" fontId="32" fillId="5" borderId="11" xfId="15" applyFont="1" applyFill="1" applyBorder="1" applyAlignment="1">
      <alignment horizontal="left" vertical="top"/>
    </xf>
    <xf numFmtId="0" fontId="32" fillId="5" borderId="12" xfId="0" applyFont="1" applyFill="1" applyBorder="1" applyAlignment="1">
      <alignment horizontal="left" vertical="top"/>
    </xf>
    <xf numFmtId="0" fontId="32" fillId="5" borderId="11" xfId="15" applyFont="1" applyFill="1" applyBorder="1" applyAlignment="1">
      <alignment horizontal="left"/>
    </xf>
    <xf numFmtId="182" fontId="32" fillId="2" borderId="11" xfId="15" applyNumberFormat="1" applyFont="1" applyFill="1" applyBorder="1" applyAlignment="1" applyProtection="1">
      <alignment horizontal="left" vertical="top"/>
      <protection locked="0"/>
    </xf>
    <xf numFmtId="182" fontId="32" fillId="2" borderId="12" xfId="0" applyNumberFormat="1" applyFont="1" applyFill="1" applyBorder="1" applyAlignment="1" applyProtection="1">
      <alignment horizontal="left" vertical="top"/>
      <protection locked="0"/>
    </xf>
    <xf numFmtId="0" fontId="22" fillId="5" borderId="11" xfId="0" applyFont="1" applyFill="1" applyBorder="1" applyAlignment="1">
      <alignment vertical="top" wrapText="1"/>
    </xf>
    <xf numFmtId="0" fontId="22" fillId="5" borderId="7" xfId="0" applyFont="1" applyFill="1" applyBorder="1" applyAlignment="1">
      <alignment vertical="top" wrapText="1"/>
    </xf>
    <xf numFmtId="0" fontId="22" fillId="5" borderId="12" xfId="0" applyFont="1" applyFill="1" applyBorder="1" applyAlignment="1">
      <alignment vertical="top" wrapText="1"/>
    </xf>
    <xf numFmtId="42" fontId="22" fillId="2" borderId="11" xfId="0" applyNumberFormat="1" applyFont="1" applyFill="1" applyBorder="1" applyAlignment="1" applyProtection="1">
      <alignment horizontal="left" vertical="top" wrapText="1"/>
      <protection locked="0"/>
    </xf>
    <xf numFmtId="42" fontId="22" fillId="2" borderId="12" xfId="0" applyNumberFormat="1" applyFont="1" applyFill="1" applyBorder="1" applyAlignment="1" applyProtection="1">
      <alignment horizontal="left" vertical="top" wrapText="1"/>
      <protection locked="0"/>
    </xf>
    <xf numFmtId="0" fontId="77" fillId="2" borderId="11" xfId="15" applyFont="1" applyFill="1" applyBorder="1" applyAlignment="1" applyProtection="1">
      <alignment horizontal="left" vertical="top"/>
      <protection locked="0"/>
    </xf>
    <xf numFmtId="0" fontId="77" fillId="2" borderId="12" xfId="0" applyFont="1" applyFill="1" applyBorder="1" applyAlignment="1" applyProtection="1">
      <alignment horizontal="left" vertical="top"/>
      <protection locked="0"/>
    </xf>
    <xf numFmtId="181" fontId="32" fillId="2" borderId="11" xfId="15" applyNumberFormat="1" applyFont="1" applyFill="1" applyBorder="1" applyAlignment="1" applyProtection="1">
      <alignment horizontal="left" vertical="top"/>
      <protection locked="0"/>
    </xf>
    <xf numFmtId="181" fontId="32" fillId="2" borderId="12" xfId="15" applyNumberFormat="1" applyFont="1" applyFill="1" applyBorder="1" applyAlignment="1" applyProtection="1">
      <alignment horizontal="left" vertical="top"/>
      <protection locked="0"/>
    </xf>
    <xf numFmtId="0" fontId="22" fillId="5" borderId="11" xfId="15" applyFont="1" applyFill="1" applyBorder="1" applyAlignment="1">
      <alignment horizontal="left" vertical="top"/>
    </xf>
    <xf numFmtId="0" fontId="22" fillId="5" borderId="12" xfId="0" applyFont="1" applyFill="1" applyBorder="1" applyAlignment="1">
      <alignment horizontal="left" vertical="top"/>
    </xf>
    <xf numFmtId="0" fontId="51" fillId="5" borderId="0" xfId="0" applyFont="1" applyFill="1" applyAlignment="1">
      <alignment wrapText="1"/>
    </xf>
    <xf numFmtId="0" fontId="41" fillId="5" borderId="0" xfId="0" applyFont="1" applyFill="1" applyAlignment="1">
      <alignment wrapText="1"/>
    </xf>
    <xf numFmtId="0" fontId="22" fillId="0" borderId="0" xfId="13" applyFont="1" applyAlignment="1">
      <alignment vertical="top" wrapText="1"/>
    </xf>
    <xf numFmtId="0" fontId="22" fillId="0" borderId="0" xfId="35" applyFont="1" applyAlignment="1">
      <alignment wrapText="1"/>
    </xf>
    <xf numFmtId="0" fontId="22" fillId="0" borderId="24" xfId="13" applyFont="1" applyBorder="1" applyAlignment="1">
      <alignment horizontal="left" vertical="top" wrapText="1"/>
    </xf>
    <xf numFmtId="0" fontId="32" fillId="0" borderId="9" xfId="13" applyFont="1" applyBorder="1" applyAlignment="1">
      <alignment horizontal="left" vertical="top" wrapText="1"/>
    </xf>
    <xf numFmtId="0" fontId="32" fillId="0" borderId="25" xfId="13" applyFont="1" applyBorder="1" applyAlignment="1">
      <alignment horizontal="left" vertical="top" wrapText="1"/>
    </xf>
    <xf numFmtId="0" fontId="89" fillId="0" borderId="6" xfId="13" applyFont="1" applyBorder="1" applyAlignment="1">
      <alignment horizontal="left" wrapText="1"/>
    </xf>
    <xf numFmtId="0" fontId="93" fillId="0" borderId="11" xfId="13" applyFont="1" applyBorder="1" applyAlignment="1">
      <alignment vertical="top" wrapText="1"/>
    </xf>
    <xf numFmtId="0" fontId="93" fillId="0" borderId="7" xfId="13" applyFont="1" applyBorder="1" applyAlignment="1">
      <alignment vertical="top" wrapText="1"/>
    </xf>
    <xf numFmtId="0" fontId="93" fillId="0" borderId="12" xfId="13" applyFont="1" applyBorder="1" applyAlignment="1">
      <alignment vertical="top" wrapText="1"/>
    </xf>
    <xf numFmtId="0" fontId="22" fillId="0" borderId="3" xfId="13" applyFont="1" applyBorder="1" applyAlignment="1">
      <alignment horizontal="left" vertical="top" wrapText="1"/>
    </xf>
    <xf numFmtId="0" fontId="89" fillId="5" borderId="15" xfId="35" applyFont="1" applyFill="1" applyBorder="1" applyAlignment="1">
      <alignment horizontal="left" wrapText="1"/>
    </xf>
    <xf numFmtId="0" fontId="89" fillId="5" borderId="0" xfId="35" applyFont="1" applyFill="1" applyAlignment="1">
      <alignment horizontal="left" wrapText="1"/>
    </xf>
    <xf numFmtId="0" fontId="89" fillId="5" borderId="14" xfId="35" applyFont="1" applyFill="1" applyBorder="1" applyAlignment="1">
      <alignment horizontal="left" wrapText="1"/>
    </xf>
    <xf numFmtId="0" fontId="88" fillId="0" borderId="3" xfId="13" applyFont="1" applyBorder="1" applyAlignment="1">
      <alignment vertical="top" wrapText="1"/>
    </xf>
    <xf numFmtId="0" fontId="91" fillId="0" borderId="3" xfId="0" applyFont="1" applyBorder="1" applyAlignment="1">
      <alignment vertical="top" wrapText="1"/>
    </xf>
    <xf numFmtId="0" fontId="75" fillId="5" borderId="11" xfId="13" applyFont="1" applyFill="1" applyBorder="1" applyAlignment="1">
      <alignment vertical="top" wrapText="1"/>
    </xf>
    <xf numFmtId="0" fontId="22" fillId="5" borderId="7" xfId="34" applyFill="1" applyBorder="1" applyAlignment="1">
      <alignment wrapText="1"/>
    </xf>
    <xf numFmtId="0" fontId="22" fillId="5" borderId="25" xfId="34" applyFill="1" applyBorder="1" applyAlignment="1">
      <alignment wrapText="1"/>
    </xf>
    <xf numFmtId="0" fontId="64" fillId="4" borderId="3" xfId="15" applyFont="1" applyFill="1" applyBorder="1" applyAlignment="1" applyProtection="1">
      <alignment horizontal="left" vertical="top"/>
      <protection locked="0"/>
    </xf>
    <xf numFmtId="181" fontId="29" fillId="4" borderId="3" xfId="15" applyNumberFormat="1" applyFont="1" applyFill="1" applyBorder="1" applyAlignment="1" applyProtection="1">
      <alignment horizontal="left" vertical="top"/>
      <protection locked="0"/>
    </xf>
    <xf numFmtId="0" fontId="27" fillId="5" borderId="3" xfId="15" applyFont="1" applyFill="1" applyBorder="1" applyAlignment="1">
      <alignment horizontal="left" vertical="top"/>
    </xf>
    <xf numFmtId="0" fontId="29" fillId="5" borderId="3" xfId="15" applyFont="1" applyFill="1" applyBorder="1" applyAlignment="1">
      <alignment horizontal="left" vertical="top"/>
    </xf>
    <xf numFmtId="0" fontId="29" fillId="5" borderId="11" xfId="15" applyFont="1" applyFill="1" applyBorder="1" applyAlignment="1">
      <alignment horizontal="left" wrapText="1"/>
    </xf>
    <xf numFmtId="0" fontId="29" fillId="5" borderId="7" xfId="15" applyFont="1" applyFill="1" applyBorder="1" applyAlignment="1">
      <alignment horizontal="left" wrapText="1"/>
    </xf>
    <xf numFmtId="0" fontId="29" fillId="5" borderId="12" xfId="15" applyFont="1" applyFill="1" applyBorder="1" applyAlignment="1">
      <alignment horizontal="left" wrapText="1"/>
    </xf>
    <xf numFmtId="0" fontId="29" fillId="4" borderId="3" xfId="15" applyFont="1" applyFill="1" applyBorder="1" applyAlignment="1" applyProtection="1">
      <alignment horizontal="left" vertical="top"/>
      <protection locked="0"/>
    </xf>
    <xf numFmtId="182" fontId="29" fillId="4" borderId="3" xfId="15" applyNumberFormat="1" applyFont="1" applyFill="1" applyBorder="1" applyAlignment="1" applyProtection="1">
      <alignment horizontal="left" vertical="top"/>
      <protection locked="0"/>
    </xf>
    <xf numFmtId="165" fontId="21" fillId="2" borderId="11" xfId="1" applyNumberFormat="1" applyFont="1" applyFill="1" applyBorder="1" applyAlignment="1" applyProtection="1">
      <alignment horizontal="left" vertical="top" wrapText="1"/>
      <protection locked="0"/>
    </xf>
    <xf numFmtId="165" fontId="21" fillId="2" borderId="7" xfId="1" applyNumberFormat="1" applyFont="1" applyFill="1" applyBorder="1" applyAlignment="1" applyProtection="1">
      <alignment horizontal="left" vertical="top" wrapText="1"/>
      <protection locked="0"/>
    </xf>
    <xf numFmtId="165" fontId="21" fillId="2" borderId="12" xfId="1" applyNumberFormat="1" applyFont="1" applyFill="1" applyBorder="1" applyAlignment="1" applyProtection="1">
      <alignment horizontal="left" vertical="top" wrapText="1"/>
      <protection locked="0"/>
    </xf>
    <xf numFmtId="164" fontId="74" fillId="5" borderId="24" xfId="0" applyNumberFormat="1" applyFont="1" applyFill="1" applyBorder="1" applyAlignment="1">
      <alignment horizontal="left" vertical="center" wrapText="1"/>
    </xf>
    <xf numFmtId="164" fontId="66" fillId="5" borderId="9" xfId="0" applyNumberFormat="1" applyFont="1" applyFill="1" applyBorder="1" applyAlignment="1">
      <alignment horizontal="left" vertical="center" wrapText="1"/>
    </xf>
    <xf numFmtId="164" fontId="66" fillId="5" borderId="25" xfId="0" applyNumberFormat="1" applyFont="1" applyFill="1" applyBorder="1" applyAlignment="1">
      <alignment horizontal="left" vertical="center" wrapText="1"/>
    </xf>
    <xf numFmtId="0" fontId="0" fillId="5" borderId="17" xfId="0" applyFill="1" applyBorder="1" applyAlignment="1">
      <alignment vertical="center"/>
    </xf>
    <xf numFmtId="0" fontId="0" fillId="5" borderId="6" xfId="0" applyFill="1" applyBorder="1" applyAlignment="1">
      <alignment vertical="center"/>
    </xf>
    <xf numFmtId="0" fontId="0" fillId="5" borderId="18" xfId="0" applyFill="1" applyBorder="1" applyAlignment="1">
      <alignment vertical="center"/>
    </xf>
    <xf numFmtId="0" fontId="22" fillId="5" borderId="3" xfId="15" applyFont="1" applyFill="1" applyBorder="1" applyAlignment="1">
      <alignment horizontal="left" vertical="top"/>
    </xf>
    <xf numFmtId="0" fontId="21" fillId="5" borderId="11" xfId="0" applyFont="1" applyFill="1" applyBorder="1" applyAlignment="1">
      <alignment horizontal="left" wrapText="1"/>
    </xf>
    <xf numFmtId="0" fontId="0" fillId="5" borderId="7" xfId="0" applyFill="1" applyBorder="1" applyAlignment="1">
      <alignment wrapText="1"/>
    </xf>
    <xf numFmtId="0" fontId="0" fillId="5" borderId="12" xfId="0" applyFill="1" applyBorder="1" applyAlignment="1">
      <alignment wrapText="1"/>
    </xf>
    <xf numFmtId="168" fontId="21" fillId="5" borderId="11" xfId="0" applyNumberFormat="1" applyFont="1" applyFill="1" applyBorder="1" applyAlignment="1">
      <alignment horizontal="left"/>
    </xf>
    <xf numFmtId="0" fontId="0" fillId="5" borderId="7" xfId="0" applyFill="1" applyBorder="1" applyAlignment="1">
      <alignment horizontal="left" wrapText="1"/>
    </xf>
    <xf numFmtId="0" fontId="0" fillId="5" borderId="12" xfId="0" applyFill="1" applyBorder="1" applyAlignment="1">
      <alignment horizontal="left" wrapText="1"/>
    </xf>
    <xf numFmtId="0" fontId="41" fillId="4" borderId="7" xfId="0" applyFont="1" applyFill="1" applyBorder="1" applyProtection="1">
      <protection locked="0"/>
    </xf>
    <xf numFmtId="0" fontId="41" fillId="4" borderId="12" xfId="0" applyFont="1" applyFill="1" applyBorder="1" applyProtection="1">
      <protection locked="0"/>
    </xf>
    <xf numFmtId="0" fontId="41" fillId="5" borderId="7" xfId="0" applyFont="1" applyFill="1" applyBorder="1"/>
    <xf numFmtId="0" fontId="41" fillId="5" borderId="12" xfId="0" applyFont="1" applyFill="1" applyBorder="1"/>
    <xf numFmtId="0" fontId="63" fillId="4" borderId="11" xfId="0" applyFont="1" applyFill="1" applyBorder="1" applyAlignment="1" applyProtection="1">
      <alignment horizontal="left"/>
      <protection locked="0"/>
    </xf>
    <xf numFmtId="0" fontId="115" fillId="5" borderId="0" xfId="0" applyFont="1" applyFill="1" applyAlignment="1">
      <alignment horizontal="right"/>
    </xf>
    <xf numFmtId="0" fontId="91" fillId="5" borderId="0" xfId="0" applyFont="1" applyFill="1" applyAlignment="1">
      <alignment horizontal="right"/>
    </xf>
    <xf numFmtId="10" fontId="22" fillId="2" borderId="11" xfId="0" applyNumberFormat="1" applyFont="1" applyFill="1" applyBorder="1" applyProtection="1">
      <protection locked="0"/>
    </xf>
    <xf numFmtId="10" fontId="22" fillId="2" borderId="12" xfId="0" applyNumberFormat="1" applyFont="1" applyFill="1" applyBorder="1" applyProtection="1">
      <protection locked="0"/>
    </xf>
    <xf numFmtId="0" fontId="22" fillId="0" borderId="11" xfId="0" applyFont="1" applyBorder="1"/>
    <xf numFmtId="0" fontId="22" fillId="0" borderId="7" xfId="0" applyFont="1" applyBorder="1"/>
    <xf numFmtId="0" fontId="22" fillId="0" borderId="12" xfId="0" applyFont="1" applyBorder="1"/>
    <xf numFmtId="183" fontId="22" fillId="2" borderId="11" xfId="0" applyNumberFormat="1" applyFont="1" applyFill="1" applyBorder="1" applyProtection="1">
      <protection locked="0"/>
    </xf>
    <xf numFmtId="183" fontId="22" fillId="2" borderId="12" xfId="0" applyNumberFormat="1" applyFont="1" applyFill="1" applyBorder="1" applyProtection="1">
      <protection locked="0"/>
    </xf>
    <xf numFmtId="0" fontId="21" fillId="2" borderId="11" xfId="0" applyFont="1" applyFill="1" applyBorder="1" applyAlignment="1" applyProtection="1">
      <alignment vertical="top" wrapText="1"/>
      <protection locked="0"/>
    </xf>
    <xf numFmtId="0" fontId="21" fillId="2" borderId="7" xfId="0" applyFont="1" applyFill="1" applyBorder="1" applyAlignment="1" applyProtection="1">
      <alignment vertical="top" wrapText="1"/>
      <protection locked="0"/>
    </xf>
    <xf numFmtId="0" fontId="21" fillId="2" borderId="12" xfId="0" applyFont="1" applyFill="1" applyBorder="1" applyAlignment="1" applyProtection="1">
      <alignment vertical="top" wrapText="1"/>
      <protection locked="0"/>
    </xf>
    <xf numFmtId="0" fontId="32" fillId="0" borderId="26" xfId="0" applyFont="1" applyBorder="1"/>
    <xf numFmtId="0" fontId="32" fillId="0" borderId="0" xfId="0" applyFont="1"/>
    <xf numFmtId="0" fontId="20" fillId="0" borderId="3" xfId="15" applyFont="1" applyBorder="1" applyAlignment="1">
      <alignment horizontal="left" vertical="top"/>
    </xf>
    <xf numFmtId="0" fontId="20" fillId="0" borderId="3" xfId="15" applyFont="1" applyBorder="1" applyAlignment="1">
      <alignment horizontal="left" vertical="top" wrapText="1"/>
    </xf>
    <xf numFmtId="0" fontId="20" fillId="2" borderId="3" xfId="15" applyFont="1" applyFill="1" applyBorder="1" applyAlignment="1" applyProtection="1">
      <alignment horizontal="left" vertical="top"/>
      <protection locked="0"/>
    </xf>
    <xf numFmtId="0" fontId="27" fillId="0" borderId="3" xfId="15" applyFont="1" applyBorder="1" applyAlignment="1">
      <alignment horizontal="left" vertical="top"/>
    </xf>
    <xf numFmtId="181" fontId="20" fillId="2" borderId="11" xfId="0" applyNumberFormat="1" applyFont="1" applyFill="1" applyBorder="1" applyAlignment="1" applyProtection="1">
      <alignment horizontal="left" vertical="top" wrapText="1"/>
      <protection locked="0"/>
    </xf>
    <xf numFmtId="0" fontId="20" fillId="0" borderId="7" xfId="0" applyFont="1" applyBorder="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xf>
    <xf numFmtId="0" fontId="20" fillId="0" borderId="7" xfId="0" applyFont="1" applyBorder="1" applyAlignment="1">
      <alignment horizontal="left" vertical="top"/>
    </xf>
    <xf numFmtId="0" fontId="20" fillId="0" borderId="12" xfId="0" applyFont="1" applyBorder="1" applyAlignment="1">
      <alignment horizontal="left" vertical="top"/>
    </xf>
    <xf numFmtId="0" fontId="20" fillId="2" borderId="11" xfId="0" applyFont="1" applyFill="1" applyBorder="1" applyAlignment="1" applyProtection="1">
      <alignment horizontal="left" vertical="top" wrapText="1"/>
      <protection locked="0"/>
    </xf>
    <xf numFmtId="182" fontId="20" fillId="2" borderId="11" xfId="0" applyNumberFormat="1" applyFont="1" applyFill="1" applyBorder="1" applyAlignment="1" applyProtection="1">
      <alignment horizontal="left" vertical="top" wrapText="1"/>
      <protection locked="0"/>
    </xf>
    <xf numFmtId="0" fontId="63" fillId="2" borderId="11" xfId="0" applyFont="1" applyFill="1" applyBorder="1" applyAlignment="1" applyProtection="1">
      <alignment horizontal="left" vertical="top" wrapText="1"/>
      <protection locked="0"/>
    </xf>
    <xf numFmtId="0" fontId="20" fillId="0" borderId="11" xfId="0" applyFont="1" applyBorder="1" applyAlignment="1">
      <alignment horizontal="left" vertical="top" wrapText="1"/>
    </xf>
    <xf numFmtId="0" fontId="20" fillId="0" borderId="7" xfId="0" applyFont="1" applyBorder="1" applyAlignment="1">
      <alignment wrapText="1"/>
    </xf>
    <xf numFmtId="0" fontId="20" fillId="0" borderId="12" xfId="0" applyFont="1" applyBorder="1" applyAlignment="1">
      <alignment wrapText="1"/>
    </xf>
    <xf numFmtId="165" fontId="21" fillId="0" borderId="6" xfId="1" applyNumberFormat="1" applyFont="1" applyBorder="1" applyAlignment="1" applyProtection="1">
      <alignment horizontal="center" vertical="center"/>
    </xf>
    <xf numFmtId="165" fontId="21" fillId="0" borderId="0" xfId="1" applyNumberFormat="1" applyFont="1" applyAlignment="1" applyProtection="1">
      <alignment horizontal="center" vertical="center"/>
    </xf>
    <xf numFmtId="165" fontId="21" fillId="0" borderId="0" xfId="1" quotePrefix="1" applyNumberFormat="1" applyFont="1" applyAlignment="1" applyProtection="1">
      <alignment horizontal="center" vertical="center"/>
    </xf>
    <xf numFmtId="167" fontId="21" fillId="0" borderId="6" xfId="1" quotePrefix="1" applyNumberFormat="1" applyFont="1" applyBorder="1" applyAlignment="1" applyProtection="1">
      <alignment horizontal="center" vertical="center"/>
    </xf>
    <xf numFmtId="167" fontId="21" fillId="0" borderId="6" xfId="1" applyNumberFormat="1" applyFont="1" applyBorder="1" applyAlignment="1" applyProtection="1">
      <alignment horizontal="center" vertical="center"/>
    </xf>
    <xf numFmtId="165" fontId="21" fillId="0" borderId="0" xfId="1" applyNumberFormat="1" applyFont="1" applyBorder="1" applyAlignment="1" applyProtection="1">
      <alignment horizontal="center" vertical="center"/>
    </xf>
    <xf numFmtId="0" fontId="22" fillId="5" borderId="3" xfId="35" applyFont="1" applyFill="1" applyBorder="1" applyAlignment="1">
      <alignment horizontal="left" vertical="top" wrapText="1"/>
    </xf>
    <xf numFmtId="0" fontId="32" fillId="5" borderId="3" xfId="35" applyFont="1" applyFill="1" applyBorder="1" applyAlignment="1">
      <alignment horizontal="left" vertical="top" wrapText="1"/>
    </xf>
    <xf numFmtId="0" fontId="22" fillId="4" borderId="3" xfId="14" applyFont="1" applyFill="1" applyBorder="1" applyAlignment="1" applyProtection="1">
      <alignment horizontal="left" wrapText="1"/>
      <protection locked="0"/>
    </xf>
    <xf numFmtId="0" fontId="22" fillId="4" borderId="3" xfId="14" applyFont="1" applyFill="1" applyBorder="1" applyAlignment="1" applyProtection="1">
      <alignment wrapText="1"/>
      <protection locked="0"/>
    </xf>
    <xf numFmtId="0" fontId="22" fillId="5" borderId="0" xfId="9" applyFont="1" applyFill="1" applyAlignment="1">
      <alignment horizontal="left" wrapText="1"/>
    </xf>
    <xf numFmtId="0" fontId="22" fillId="5" borderId="17" xfId="9" applyFont="1" applyFill="1" applyBorder="1" applyAlignment="1">
      <alignment horizontal="left" wrapText="1"/>
    </xf>
    <xf numFmtId="0" fontId="0" fillId="5" borderId="6" xfId="0" applyFill="1" applyBorder="1"/>
    <xf numFmtId="0" fontId="0" fillId="5" borderId="18" xfId="0" applyFill="1" applyBorder="1"/>
    <xf numFmtId="0" fontId="22" fillId="5" borderId="11" xfId="9" applyFont="1" applyFill="1" applyBorder="1" applyAlignment="1">
      <alignment horizontal="left"/>
    </xf>
    <xf numFmtId="0" fontId="22" fillId="5" borderId="7" xfId="9" applyFont="1" applyFill="1" applyBorder="1" applyAlignment="1">
      <alignment horizontal="left"/>
    </xf>
    <xf numFmtId="0" fontId="22" fillId="5" borderId="12" xfId="9" applyFont="1" applyFill="1" applyBorder="1" applyAlignment="1">
      <alignment horizontal="left"/>
    </xf>
    <xf numFmtId="0" fontId="22" fillId="5" borderId="11" xfId="9" applyFont="1" applyFill="1" applyBorder="1" applyAlignment="1">
      <alignment horizontal="left" wrapText="1"/>
    </xf>
    <xf numFmtId="0" fontId="22" fillId="5" borderId="7" xfId="9" applyFont="1" applyFill="1" applyBorder="1" applyAlignment="1">
      <alignment horizontal="left" wrapText="1"/>
    </xf>
    <xf numFmtId="0" fontId="22" fillId="5" borderId="12" xfId="9" applyFont="1" applyFill="1" applyBorder="1" applyAlignment="1">
      <alignment horizontal="left" wrapText="1"/>
    </xf>
    <xf numFmtId="0" fontId="32" fillId="5" borderId="0" xfId="16" applyFont="1" applyFill="1" applyAlignment="1">
      <alignment horizontal="left" wrapText="1"/>
    </xf>
    <xf numFmtId="0" fontId="32" fillId="5" borderId="24" xfId="0" applyFont="1" applyFill="1" applyBorder="1" applyAlignment="1">
      <alignment horizontal="left" vertical="top" wrapText="1"/>
    </xf>
    <xf numFmtId="0" fontId="32" fillId="5" borderId="9" xfId="0" applyFont="1" applyFill="1" applyBorder="1" applyAlignment="1">
      <alignment horizontal="left" vertical="top" wrapText="1"/>
    </xf>
    <xf numFmtId="0" fontId="32" fillId="5" borderId="25"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4" xfId="0" applyFont="1" applyFill="1" applyBorder="1" applyAlignment="1">
      <alignment horizontal="left" vertical="top" wrapText="1"/>
    </xf>
    <xf numFmtId="0" fontId="22" fillId="5" borderId="17" xfId="0" applyFont="1" applyFill="1" applyBorder="1" applyAlignment="1">
      <alignment horizontal="left" vertical="top" wrapText="1"/>
    </xf>
    <xf numFmtId="0" fontId="22" fillId="5" borderId="6" xfId="0" applyFont="1" applyFill="1" applyBorder="1" applyAlignment="1">
      <alignment horizontal="left" vertical="top" wrapText="1"/>
    </xf>
    <xf numFmtId="0" fontId="22" fillId="5" borderId="18" xfId="0" applyFont="1" applyFill="1" applyBorder="1" applyAlignment="1">
      <alignment horizontal="left" vertical="top" wrapText="1"/>
    </xf>
    <xf numFmtId="0" fontId="32" fillId="5" borderId="15"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14" xfId="0" applyFont="1" applyFill="1" applyBorder="1" applyAlignment="1">
      <alignment horizontal="left" vertical="top" wrapText="1"/>
    </xf>
    <xf numFmtId="0" fontId="32" fillId="5" borderId="17" xfId="0" applyFont="1" applyFill="1" applyBorder="1" applyAlignment="1">
      <alignment horizontal="left" vertical="top" wrapText="1"/>
    </xf>
    <xf numFmtId="0" fontId="32" fillId="5" borderId="6" xfId="0" applyFont="1" applyFill="1" applyBorder="1" applyAlignment="1">
      <alignment horizontal="left" vertical="top" wrapText="1"/>
    </xf>
    <xf numFmtId="0" fontId="32" fillId="5" borderId="18" xfId="0" applyFont="1" applyFill="1" applyBorder="1" applyAlignment="1">
      <alignment horizontal="left" vertical="top" wrapText="1"/>
    </xf>
    <xf numFmtId="0" fontId="32" fillId="5" borderId="11" xfId="0" applyFont="1" applyFill="1" applyBorder="1" applyAlignment="1">
      <alignment horizontal="left" vertical="top" wrapText="1"/>
    </xf>
    <xf numFmtId="0" fontId="32" fillId="5" borderId="7" xfId="0" applyFont="1" applyFill="1" applyBorder="1" applyAlignment="1">
      <alignment horizontal="left" vertical="top" wrapText="1"/>
    </xf>
    <xf numFmtId="0" fontId="32" fillId="5" borderId="12"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5" borderId="12" xfId="0" applyFont="1" applyFill="1" applyBorder="1" applyAlignment="1">
      <alignment horizontal="left" vertical="top" wrapText="1"/>
    </xf>
    <xf numFmtId="0" fontId="22" fillId="5" borderId="24" xfId="9" applyFont="1" applyFill="1" applyBorder="1" applyAlignment="1">
      <alignment horizontal="left" wrapText="1"/>
    </xf>
    <xf numFmtId="0" fontId="0" fillId="5" borderId="9" xfId="0" applyFill="1" applyBorder="1"/>
    <xf numFmtId="0" fontId="0" fillId="5" borderId="25" xfId="0" applyFill="1" applyBorder="1"/>
  </cellXfs>
  <cellStyles count="170">
    <cellStyle name="Comma" xfId="1" builtinId="3"/>
    <cellStyle name="Comma 2" xfId="38" xr:uid="{00000000-0005-0000-0000-000001000000}"/>
    <cellStyle name="Comma 2 2" xfId="101" xr:uid="{00000000-0005-0000-0000-000002000000}"/>
    <cellStyle name="Comma 3" xfId="48" xr:uid="{00000000-0005-0000-0000-000003000000}"/>
    <cellStyle name="Comma 3 2" xfId="51" xr:uid="{00000000-0005-0000-0000-000004000000}"/>
    <cellStyle name="Comma 3 2 2" xfId="145" xr:uid="{00000000-0005-0000-0000-000005000000}"/>
    <cellStyle name="Comma 3 2 3" xfId="165" xr:uid="{00000000-0005-0000-0000-000006000000}"/>
    <cellStyle name="Comma 3 3" xfId="127" xr:uid="{00000000-0005-0000-0000-000007000000}"/>
    <cellStyle name="Comma 4" xfId="52" xr:uid="{00000000-0005-0000-0000-000008000000}"/>
    <cellStyle name="Comma 4 2" xfId="121" xr:uid="{00000000-0005-0000-0000-000009000000}"/>
    <cellStyle name="Comma 4 2 2" xfId="146" xr:uid="{00000000-0005-0000-0000-00000A000000}"/>
    <cellStyle name="Comma 4 2 3" xfId="147" xr:uid="{00000000-0005-0000-0000-00000B000000}"/>
    <cellStyle name="Comma 4 3" xfId="148" xr:uid="{00000000-0005-0000-0000-00000C000000}"/>
    <cellStyle name="Comma 4 4" xfId="149" xr:uid="{00000000-0005-0000-0000-00000D000000}"/>
    <cellStyle name="Comma 4 5" xfId="150" xr:uid="{00000000-0005-0000-0000-00000E000000}"/>
    <cellStyle name="Comma 4 6" xfId="95" xr:uid="{00000000-0005-0000-0000-00000F000000}"/>
    <cellStyle name="Comma 4 7" xfId="88" xr:uid="{00000000-0005-0000-0000-000010000000}"/>
    <cellStyle name="Comma 5" xfId="100" xr:uid="{00000000-0005-0000-0000-000011000000}"/>
    <cellStyle name="Comma 5 2" xfId="122" xr:uid="{00000000-0005-0000-0000-000012000000}"/>
    <cellStyle name="Comma 5 3" xfId="167" xr:uid="{00000000-0005-0000-0000-000013000000}"/>
    <cellStyle name="Comma 5 4" xfId="169" xr:uid="{00000000-0005-0000-0000-000014000000}"/>
    <cellStyle name="Comma 6" xfId="99" xr:uid="{00000000-0005-0000-0000-000015000000}"/>
    <cellStyle name="Comma0" xfId="2" xr:uid="{00000000-0005-0000-0000-000016000000}"/>
    <cellStyle name="Currency 2" xfId="89" xr:uid="{00000000-0005-0000-0000-000017000000}"/>
    <cellStyle name="Currency 2 2" xfId="123" xr:uid="{00000000-0005-0000-0000-000018000000}"/>
    <cellStyle name="Currency 2 2 2" xfId="151" xr:uid="{00000000-0005-0000-0000-000019000000}"/>
    <cellStyle name="Currency 2 3" xfId="152" xr:uid="{00000000-0005-0000-0000-00001A000000}"/>
    <cellStyle name="Currency 2 4" xfId="153" xr:uid="{00000000-0005-0000-0000-00001B000000}"/>
    <cellStyle name="Currency 2 5" xfId="154" xr:uid="{00000000-0005-0000-0000-00001C000000}"/>
    <cellStyle name="Currency 2 6" xfId="96" xr:uid="{00000000-0005-0000-0000-00001D000000}"/>
    <cellStyle name="Currency 3" xfId="102" xr:uid="{00000000-0005-0000-0000-00001E000000}"/>
    <cellStyle name="Currency 4" xfId="103" xr:uid="{00000000-0005-0000-0000-00001F000000}"/>
    <cellStyle name="Currency 5" xfId="93" xr:uid="{00000000-0005-0000-0000-000020000000}"/>
    <cellStyle name="Currency 6" xfId="78" xr:uid="{00000000-0005-0000-0000-000021000000}"/>
    <cellStyle name="Currency0" xfId="3" xr:uid="{00000000-0005-0000-0000-000022000000}"/>
    <cellStyle name="Date" xfId="4" xr:uid="{00000000-0005-0000-0000-000023000000}"/>
    <cellStyle name="Fixed" xfId="5" xr:uid="{00000000-0005-0000-0000-000024000000}"/>
    <cellStyle name="Heading 1" xfId="6" builtinId="16" customBuiltin="1"/>
    <cellStyle name="Heading 1 2" xfId="39" xr:uid="{00000000-0005-0000-0000-000026000000}"/>
    <cellStyle name="Heading 1 3" xfId="53" xr:uid="{00000000-0005-0000-0000-000027000000}"/>
    <cellStyle name="Heading 2" xfId="7" builtinId="17" customBuiltin="1"/>
    <cellStyle name="Heading 2 2" xfId="40" xr:uid="{00000000-0005-0000-0000-000029000000}"/>
    <cellStyle name="Heading 2 3" xfId="54" xr:uid="{00000000-0005-0000-0000-00002A000000}"/>
    <cellStyle name="Hyperlink" xfId="8" builtinId="8"/>
    <cellStyle name="Hyperlink 2" xfId="55" xr:uid="{00000000-0005-0000-0000-00002C000000}"/>
    <cellStyle name="Hyperlink 3" xfId="56" xr:uid="{00000000-0005-0000-0000-00002D000000}"/>
    <cellStyle name="Normal" xfId="0" builtinId="0"/>
    <cellStyle name="Normal 10" xfId="125" xr:uid="{00000000-0005-0000-0000-00002F000000}"/>
    <cellStyle name="Normal 11" xfId="77" xr:uid="{00000000-0005-0000-0000-000030000000}"/>
    <cellStyle name="Normal 2" xfId="35" xr:uid="{00000000-0005-0000-0000-000031000000}"/>
    <cellStyle name="Normal 2 2" xfId="57" xr:uid="{00000000-0005-0000-0000-000032000000}"/>
    <cellStyle name="Normal 2 2 2" xfId="58" xr:uid="{00000000-0005-0000-0000-000033000000}"/>
    <cellStyle name="Normal 2 2 2 2" xfId="81" xr:uid="{00000000-0005-0000-0000-000034000000}"/>
    <cellStyle name="Normal 2 2 2 3" xfId="128" xr:uid="{00000000-0005-0000-0000-000035000000}"/>
    <cellStyle name="Normal 2 2 3" xfId="80" xr:uid="{00000000-0005-0000-0000-000036000000}"/>
    <cellStyle name="Normal 2 2 4" xfId="129" xr:uid="{00000000-0005-0000-0000-000037000000}"/>
    <cellStyle name="Normal 2 3" xfId="104" xr:uid="{00000000-0005-0000-0000-000038000000}"/>
    <cellStyle name="Normal 3" xfId="36" xr:uid="{00000000-0005-0000-0000-000039000000}"/>
    <cellStyle name="Normal 3 2" xfId="59" xr:uid="{00000000-0005-0000-0000-00003A000000}"/>
    <cellStyle name="Normal 3 2 2" xfId="105" xr:uid="{00000000-0005-0000-0000-00003B000000}"/>
    <cellStyle name="Normal 3 3" xfId="60" xr:uid="{00000000-0005-0000-0000-00003C000000}"/>
    <cellStyle name="Normal 3 3 2" xfId="82" xr:uid="{00000000-0005-0000-0000-00003D000000}"/>
    <cellStyle name="Normal 3 3 3" xfId="130" xr:uid="{00000000-0005-0000-0000-00003E000000}"/>
    <cellStyle name="Normal 3 4" xfId="61" xr:uid="{00000000-0005-0000-0000-00003F000000}"/>
    <cellStyle name="Normal 3 4 2" xfId="83" xr:uid="{00000000-0005-0000-0000-000040000000}"/>
    <cellStyle name="Normal 3 4 3" xfId="131" xr:uid="{00000000-0005-0000-0000-000041000000}"/>
    <cellStyle name="Normal 3 5" xfId="62" xr:uid="{00000000-0005-0000-0000-000042000000}"/>
    <cellStyle name="Normal 3 6" xfId="50" xr:uid="{00000000-0005-0000-0000-000043000000}"/>
    <cellStyle name="Normal 4" xfId="37" xr:uid="{00000000-0005-0000-0000-000044000000}"/>
    <cellStyle name="Normal 4 2" xfId="45" xr:uid="{00000000-0005-0000-0000-000045000000}"/>
    <cellStyle name="Normal 4 2 2" xfId="65" xr:uid="{00000000-0005-0000-0000-000046000000}"/>
    <cellStyle name="Normal 4 2 2 2" xfId="84" xr:uid="{00000000-0005-0000-0000-000047000000}"/>
    <cellStyle name="Normal 4 2 2 3" xfId="132" xr:uid="{00000000-0005-0000-0000-000048000000}"/>
    <cellStyle name="Normal 4 2 3" xfId="66" xr:uid="{00000000-0005-0000-0000-000049000000}"/>
    <cellStyle name="Normal 4 2 3 2" xfId="85" xr:uid="{00000000-0005-0000-0000-00004A000000}"/>
    <cellStyle name="Normal 4 2 3 3" xfId="133" xr:uid="{00000000-0005-0000-0000-00004B000000}"/>
    <cellStyle name="Normal 4 2 4" xfId="64" xr:uid="{00000000-0005-0000-0000-00004C000000}"/>
    <cellStyle name="Normal 4 2 4 2" xfId="134" xr:uid="{00000000-0005-0000-0000-00004D000000}"/>
    <cellStyle name="Normal 4 2 5" xfId="91" xr:uid="{00000000-0005-0000-0000-00004E000000}"/>
    <cellStyle name="Normal 4 2 6" xfId="135" xr:uid="{00000000-0005-0000-0000-00004F000000}"/>
    <cellStyle name="Normal 4 3" xfId="67" xr:uid="{00000000-0005-0000-0000-000050000000}"/>
    <cellStyle name="Normal 4 3 2" xfId="68" xr:uid="{00000000-0005-0000-0000-000051000000}"/>
    <cellStyle name="Normal 4 3 2 2" xfId="106" xr:uid="{00000000-0005-0000-0000-000052000000}"/>
    <cellStyle name="Normal 4 3 3" xfId="86" xr:uid="{00000000-0005-0000-0000-000053000000}"/>
    <cellStyle name="Normal 4 3 4" xfId="136" xr:uid="{00000000-0005-0000-0000-000054000000}"/>
    <cellStyle name="Normal 4 3 5" xfId="137" xr:uid="{00000000-0005-0000-0000-000055000000}"/>
    <cellStyle name="Normal 4 4" xfId="69" xr:uid="{00000000-0005-0000-0000-000056000000}"/>
    <cellStyle name="Normal 4 4 2" xfId="107" xr:uid="{00000000-0005-0000-0000-000057000000}"/>
    <cellStyle name="Normal 4 5" xfId="63" xr:uid="{00000000-0005-0000-0000-000058000000}"/>
    <cellStyle name="Normal 4 5 2" xfId="138" xr:uid="{00000000-0005-0000-0000-000059000000}"/>
    <cellStyle name="Normal 4 6" xfId="90" xr:uid="{00000000-0005-0000-0000-00005A000000}"/>
    <cellStyle name="Normal 4 7" xfId="139" xr:uid="{00000000-0005-0000-0000-00005B000000}"/>
    <cellStyle name="Normal 5" xfId="46" xr:uid="{00000000-0005-0000-0000-00005C000000}"/>
    <cellStyle name="Normal 5 2" xfId="71" xr:uid="{00000000-0005-0000-0000-00005D000000}"/>
    <cellStyle name="Normal 5 3" xfId="70" xr:uid="{00000000-0005-0000-0000-00005E000000}"/>
    <cellStyle name="Normal 5 3 2" xfId="140" xr:uid="{00000000-0005-0000-0000-00005F000000}"/>
    <cellStyle name="Normal 5 4" xfId="141" xr:uid="{00000000-0005-0000-0000-000060000000}"/>
    <cellStyle name="Normal 5 5" xfId="142" xr:uid="{00000000-0005-0000-0000-000061000000}"/>
    <cellStyle name="Normal 6" xfId="47" xr:uid="{00000000-0005-0000-0000-000062000000}"/>
    <cellStyle name="Normal 6 2" xfId="72" xr:uid="{00000000-0005-0000-0000-000063000000}"/>
    <cellStyle name="Normal 6 2 2" xfId="155" xr:uid="{00000000-0005-0000-0000-000064000000}"/>
    <cellStyle name="Normal 6 2 3" xfId="163" xr:uid="{00000000-0005-0000-0000-000065000000}"/>
    <cellStyle name="Normal 6 3" xfId="143" xr:uid="{00000000-0005-0000-0000-000066000000}"/>
    <cellStyle name="Normal 7" xfId="73" xr:uid="{00000000-0005-0000-0000-000067000000}"/>
    <cellStyle name="Normal 7 2" xfId="92" xr:uid="{00000000-0005-0000-0000-000068000000}"/>
    <cellStyle name="Normal 7 3" xfId="126" xr:uid="{00000000-0005-0000-0000-000069000000}"/>
    <cellStyle name="Normal 7 4" xfId="144" xr:uid="{00000000-0005-0000-0000-00006A000000}"/>
    <cellStyle name="Normal 7 5" xfId="156" xr:uid="{00000000-0005-0000-0000-00006B000000}"/>
    <cellStyle name="Normal 7 6" xfId="79" xr:uid="{00000000-0005-0000-0000-00006C000000}"/>
    <cellStyle name="Normal 8" xfId="49" xr:uid="{00000000-0005-0000-0000-00006D000000}"/>
    <cellStyle name="Normal 8 2" xfId="124" xr:uid="{00000000-0005-0000-0000-00006E000000}"/>
    <cellStyle name="Normal 8 2 2" xfId="157" xr:uid="{00000000-0005-0000-0000-00006F000000}"/>
    <cellStyle name="Normal 8 3" xfId="158" xr:uid="{00000000-0005-0000-0000-000070000000}"/>
    <cellStyle name="Normal 8 4" xfId="159" xr:uid="{00000000-0005-0000-0000-000071000000}"/>
    <cellStyle name="Normal 8 5" xfId="160" xr:uid="{00000000-0005-0000-0000-000072000000}"/>
    <cellStyle name="Normal 8 6" xfId="94" xr:uid="{00000000-0005-0000-0000-000073000000}"/>
    <cellStyle name="Normal 8 7" xfId="87" xr:uid="{00000000-0005-0000-0000-000074000000}"/>
    <cellStyle name="Normal 9" xfId="97" xr:uid="{00000000-0005-0000-0000-000075000000}"/>
    <cellStyle name="Normal 9 2" xfId="98" xr:uid="{00000000-0005-0000-0000-000076000000}"/>
    <cellStyle name="Normal 9 2 2" xfId="164" xr:uid="{00000000-0005-0000-0000-000077000000}"/>
    <cellStyle name="Normal 9 3" xfId="162" xr:uid="{00000000-0005-0000-0000-000078000000}"/>
    <cellStyle name="Normal 9 4" xfId="166" xr:uid="{00000000-0005-0000-0000-000079000000}"/>
    <cellStyle name="Normal 9 5" xfId="168" xr:uid="{00000000-0005-0000-0000-00007A000000}"/>
    <cellStyle name="Normal_Att HE-14-Cash" xfId="9" xr:uid="{00000000-0005-0000-0000-00007B000000}"/>
    <cellStyle name="Normal_Att_B" xfId="10" xr:uid="{00000000-0005-0000-0000-00007C000000}"/>
    <cellStyle name="Normal_Att20" xfId="44" xr:uid="{00000000-0005-0000-0000-00007D000000}"/>
    <cellStyle name="Normal_Att22 Cash" xfId="43" xr:uid="{00000000-0005-0000-0000-00007E000000}"/>
    <cellStyle name="Normal_Att9" xfId="11" xr:uid="{00000000-0005-0000-0000-00007F000000}"/>
    <cellStyle name="Normal_Att9 Enterprise" xfId="12" xr:uid="{00000000-0005-0000-0000-000080000000}"/>
    <cellStyle name="Normal_Book2" xfId="13" xr:uid="{00000000-0005-0000-0000-000081000000}"/>
    <cellStyle name="Normal_Certification tab (version 2)" xfId="14" xr:uid="{00000000-0005-0000-0000-000082000000}"/>
    <cellStyle name="Normal_Property, Plant &amp; Equipment" xfId="15" xr:uid="{00000000-0005-0000-0000-000083000000}"/>
    <cellStyle name="Normal_Receivables" xfId="16" xr:uid="{00000000-0005-0000-0000-000084000000}"/>
    <cellStyle name="Normal_Sheet1" xfId="34" xr:uid="{00000000-0005-0000-0000-000085000000}"/>
    <cellStyle name="Normal_Sheet2" xfId="17" xr:uid="{00000000-0005-0000-0000-000086000000}"/>
    <cellStyle name="Normal_Special Revenue Final" xfId="18" xr:uid="{00000000-0005-0000-0000-000087000000}"/>
    <cellStyle name="Normal_VLOOKUP" xfId="19" xr:uid="{00000000-0005-0000-0000-000088000000}"/>
    <cellStyle name="Number0DecimalStyle" xfId="20" xr:uid="{00000000-0005-0000-0000-000089000000}"/>
    <cellStyle name="Number0DecimalStyle 2" xfId="108" xr:uid="{00000000-0005-0000-0000-00008A000000}"/>
    <cellStyle name="Number10DecimalStyle" xfId="21" xr:uid="{00000000-0005-0000-0000-00008B000000}"/>
    <cellStyle name="Number10DecimalStyle 2" xfId="109" xr:uid="{00000000-0005-0000-0000-00008C000000}"/>
    <cellStyle name="Number1DecimalStyle" xfId="22" xr:uid="{00000000-0005-0000-0000-00008D000000}"/>
    <cellStyle name="Number1DecimalStyle 2" xfId="110" xr:uid="{00000000-0005-0000-0000-00008E000000}"/>
    <cellStyle name="Number2DecimalStyle" xfId="23" xr:uid="{00000000-0005-0000-0000-00008F000000}"/>
    <cellStyle name="Number2DecimalStyle 2" xfId="111" xr:uid="{00000000-0005-0000-0000-000090000000}"/>
    <cellStyle name="Number3DecimalStyle" xfId="24" xr:uid="{00000000-0005-0000-0000-000091000000}"/>
    <cellStyle name="Number3DecimalStyle 2" xfId="112" xr:uid="{00000000-0005-0000-0000-000092000000}"/>
    <cellStyle name="Number4DecimalStyle" xfId="25" xr:uid="{00000000-0005-0000-0000-000093000000}"/>
    <cellStyle name="Number4DecimalStyle 2" xfId="113" xr:uid="{00000000-0005-0000-0000-000094000000}"/>
    <cellStyle name="Number5DecimalStyle" xfId="26" xr:uid="{00000000-0005-0000-0000-000095000000}"/>
    <cellStyle name="Number5DecimalStyle 2" xfId="114" xr:uid="{00000000-0005-0000-0000-000096000000}"/>
    <cellStyle name="Number6DecimalStyle" xfId="27" xr:uid="{00000000-0005-0000-0000-000097000000}"/>
    <cellStyle name="Number6DecimalStyle 2" xfId="115" xr:uid="{00000000-0005-0000-0000-000098000000}"/>
    <cellStyle name="Number7DecimalStyle" xfId="28" xr:uid="{00000000-0005-0000-0000-000099000000}"/>
    <cellStyle name="Number7DecimalStyle 2" xfId="116" xr:uid="{00000000-0005-0000-0000-00009A000000}"/>
    <cellStyle name="Number8DecimalStyle" xfId="29" xr:uid="{00000000-0005-0000-0000-00009B000000}"/>
    <cellStyle name="Number8DecimalStyle 2" xfId="117" xr:uid="{00000000-0005-0000-0000-00009C000000}"/>
    <cellStyle name="Number9DecimalStyle" xfId="30" xr:uid="{00000000-0005-0000-0000-00009D000000}"/>
    <cellStyle name="Number9DecimalStyle 2" xfId="118" xr:uid="{00000000-0005-0000-0000-00009E000000}"/>
    <cellStyle name="Percent" xfId="31" builtinId="5"/>
    <cellStyle name="Percent 2" xfId="41" xr:uid="{00000000-0005-0000-0000-0000A0000000}"/>
    <cellStyle name="Percent 2 2" xfId="119" xr:uid="{00000000-0005-0000-0000-0000A1000000}"/>
    <cellStyle name="Percent 3" xfId="74" xr:uid="{00000000-0005-0000-0000-0000A2000000}"/>
    <cellStyle name="Percent 3 2" xfId="161" xr:uid="{00000000-0005-0000-0000-0000A3000000}"/>
    <cellStyle name="Style 1" xfId="75" xr:uid="{00000000-0005-0000-0000-0000A4000000}"/>
    <cellStyle name="TextStyle" xfId="32" xr:uid="{00000000-0005-0000-0000-0000A5000000}"/>
    <cellStyle name="TextStyle 2" xfId="120" xr:uid="{00000000-0005-0000-0000-0000A6000000}"/>
    <cellStyle name="Total" xfId="33" builtinId="25" customBuiltin="1"/>
    <cellStyle name="Total 2" xfId="42" xr:uid="{00000000-0005-0000-0000-0000A8000000}"/>
    <cellStyle name="Total 3" xfId="76" xr:uid="{00000000-0005-0000-0000-0000A9000000}"/>
  </cellStyles>
  <dxfs count="13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9" defaultPivotStyle="PivotStyleLight16">
    <tableStyle name="Invisible" pivot="0" table="0" count="0" xr9:uid="{1C798BB1-EBB9-4B9A-AA52-9A45690A0141}"/>
  </tableStyles>
  <colors>
    <mruColors>
      <color rgb="FF00FFCC"/>
      <color rgb="FF0000FF"/>
      <color rgb="FFFFFF99"/>
      <color rgb="FFCCFFFF"/>
      <color rgb="FF66FFFF"/>
      <color rgb="FF00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20</xdr:col>
      <xdr:colOff>1171575</xdr:colOff>
      <xdr:row>161</xdr:row>
      <xdr:rowOff>152400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887325" y="266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32</xdr:row>
          <xdr:rowOff>152400</xdr:rowOff>
        </xdr:from>
        <xdr:to>
          <xdr:col>10</xdr:col>
          <xdr:colOff>180975</xdr:colOff>
          <xdr:row>34</xdr:row>
          <xdr:rowOff>85725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300-000002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36</xdr:row>
          <xdr:rowOff>9525</xdr:rowOff>
        </xdr:from>
        <xdr:to>
          <xdr:col>10</xdr:col>
          <xdr:colOff>180975</xdr:colOff>
          <xdr:row>37</xdr:row>
          <xdr:rowOff>104775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300-000003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55</xdr:row>
          <xdr:rowOff>142875</xdr:rowOff>
        </xdr:from>
        <xdr:to>
          <xdr:col>10</xdr:col>
          <xdr:colOff>219075</xdr:colOff>
          <xdr:row>57</xdr:row>
          <xdr:rowOff>76200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300-000004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39</xdr:row>
          <xdr:rowOff>0</xdr:rowOff>
        </xdr:from>
        <xdr:to>
          <xdr:col>10</xdr:col>
          <xdr:colOff>171450</xdr:colOff>
          <xdr:row>40</xdr:row>
          <xdr:rowOff>95250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1300-000005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41</xdr:row>
          <xdr:rowOff>142875</xdr:rowOff>
        </xdr:from>
        <xdr:to>
          <xdr:col>10</xdr:col>
          <xdr:colOff>180975</xdr:colOff>
          <xdr:row>43</xdr:row>
          <xdr:rowOff>76200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1300-000006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49</xdr:row>
          <xdr:rowOff>133350</xdr:rowOff>
        </xdr:from>
        <xdr:to>
          <xdr:col>10</xdr:col>
          <xdr:colOff>200025</xdr:colOff>
          <xdr:row>51</xdr:row>
          <xdr:rowOff>66675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1300-000007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52</xdr:row>
          <xdr:rowOff>133350</xdr:rowOff>
        </xdr:from>
        <xdr:to>
          <xdr:col>10</xdr:col>
          <xdr:colOff>209550</xdr:colOff>
          <xdr:row>54</xdr:row>
          <xdr:rowOff>66675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1300-000008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46</xdr:row>
          <xdr:rowOff>133350</xdr:rowOff>
        </xdr:from>
        <xdr:to>
          <xdr:col>10</xdr:col>
          <xdr:colOff>200025</xdr:colOff>
          <xdr:row>48</xdr:row>
          <xdr:rowOff>66675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1300-000009C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7.vml"/><Relationship Id="rId9" Type="http://schemas.openxmlformats.org/officeDocument/2006/relationships/ctrlProp" Target="../ctrlProps/ctrlProp5.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X154"/>
  <sheetViews>
    <sheetView workbookViewId="0">
      <selection activeCell="A11" sqref="A11:H11"/>
    </sheetView>
  </sheetViews>
  <sheetFormatPr defaultColWidth="10.28515625" defaultRowHeight="12.75"/>
  <cols>
    <col min="1" max="1" width="5.28515625" style="184" customWidth="1"/>
    <col min="2" max="2" width="7.28515625" style="184" customWidth="1"/>
    <col min="3" max="3" width="63.140625" style="184" customWidth="1"/>
    <col min="4" max="4" width="8.5703125" style="184" customWidth="1"/>
    <col min="5" max="5" width="10.28515625" style="184"/>
    <col min="6" max="6" width="16" style="184" customWidth="1"/>
    <col min="7" max="7" width="33.85546875" style="184" customWidth="1"/>
    <col min="8" max="8" width="19.42578125" style="184" customWidth="1"/>
    <col min="9" max="9" width="75.28515625" style="184" customWidth="1"/>
    <col min="10" max="10" width="62.42578125" style="184" customWidth="1"/>
    <col min="11" max="16384" width="10.28515625" style="184"/>
  </cols>
  <sheetData>
    <row r="1" spans="1:11" ht="33" customHeight="1">
      <c r="A1" s="722" t="s">
        <v>831</v>
      </c>
      <c r="B1" s="165" t="s">
        <v>2626</v>
      </c>
      <c r="C1" s="181" t="s">
        <v>112</v>
      </c>
      <c r="D1" s="182" t="s">
        <v>832</v>
      </c>
      <c r="E1" s="166" t="s">
        <v>2627</v>
      </c>
      <c r="F1" s="183" t="s">
        <v>508</v>
      </c>
      <c r="G1" s="723" t="s">
        <v>3367</v>
      </c>
      <c r="H1" s="724" t="s">
        <v>3368</v>
      </c>
      <c r="I1" s="725"/>
      <c r="J1" s="762"/>
    </row>
    <row r="2" spans="1:11">
      <c r="A2" s="726">
        <v>100</v>
      </c>
      <c r="B2" s="726">
        <v>10000</v>
      </c>
      <c r="C2" s="727" t="s">
        <v>2628</v>
      </c>
      <c r="D2" s="726">
        <v>100</v>
      </c>
      <c r="E2" s="726">
        <v>10000</v>
      </c>
      <c r="F2" s="727" t="s">
        <v>3102</v>
      </c>
      <c r="G2" s="728"/>
      <c r="H2" s="729" t="s">
        <v>3369</v>
      </c>
      <c r="I2" s="730"/>
      <c r="K2"/>
    </row>
    <row r="3" spans="1:11" ht="25.5" customHeight="1">
      <c r="A3" s="726">
        <v>101</v>
      </c>
      <c r="B3" s="726">
        <v>10100</v>
      </c>
      <c r="C3" s="727" t="s">
        <v>524</v>
      </c>
      <c r="D3" s="726">
        <v>101</v>
      </c>
      <c r="E3" s="726">
        <v>10100</v>
      </c>
      <c r="F3" s="727" t="s">
        <v>2876</v>
      </c>
      <c r="G3" s="728"/>
      <c r="H3" s="763">
        <v>167</v>
      </c>
      <c r="I3" s="764" t="s">
        <v>3554</v>
      </c>
      <c r="K3"/>
    </row>
    <row r="4" spans="1:11" ht="15.75">
      <c r="A4" s="726">
        <v>103</v>
      </c>
      <c r="B4" s="726">
        <v>10300</v>
      </c>
      <c r="C4" s="727" t="s">
        <v>525</v>
      </c>
      <c r="D4" s="726">
        <v>111</v>
      </c>
      <c r="E4" s="726">
        <v>11100</v>
      </c>
      <c r="F4" s="727" t="s">
        <v>3064</v>
      </c>
      <c r="G4" s="731"/>
      <c r="H4" s="763">
        <v>327</v>
      </c>
      <c r="I4" s="764" t="s">
        <v>3555</v>
      </c>
      <c r="J4" s="765"/>
      <c r="K4"/>
    </row>
    <row r="5" spans="1:11" ht="15.75">
      <c r="A5" s="726">
        <v>105</v>
      </c>
      <c r="B5" s="726">
        <v>10500</v>
      </c>
      <c r="C5" s="727" t="s">
        <v>724</v>
      </c>
      <c r="D5" s="726">
        <v>101</v>
      </c>
      <c r="E5" s="726">
        <v>10100</v>
      </c>
      <c r="F5" s="727" t="s">
        <v>2876</v>
      </c>
      <c r="G5" s="731"/>
      <c r="H5" s="763">
        <v>883</v>
      </c>
      <c r="I5" s="732" t="s">
        <v>3556</v>
      </c>
      <c r="J5" s="765"/>
      <c r="K5"/>
    </row>
    <row r="6" spans="1:11">
      <c r="A6" s="726">
        <v>107</v>
      </c>
      <c r="B6" s="726">
        <v>10700</v>
      </c>
      <c r="C6" s="727" t="s">
        <v>526</v>
      </c>
      <c r="D6" s="726">
        <v>107</v>
      </c>
      <c r="E6" s="726">
        <v>10700</v>
      </c>
      <c r="F6" s="727" t="s">
        <v>3557</v>
      </c>
      <c r="G6" s="731"/>
      <c r="H6" s="763">
        <v>977</v>
      </c>
      <c r="I6" s="727" t="s">
        <v>3558</v>
      </c>
      <c r="K6"/>
    </row>
    <row r="7" spans="1:11">
      <c r="A7" s="726">
        <v>108</v>
      </c>
      <c r="B7" s="726">
        <v>10800</v>
      </c>
      <c r="C7" s="727" t="s">
        <v>527</v>
      </c>
      <c r="D7" s="726">
        <v>107</v>
      </c>
      <c r="E7" s="726">
        <v>10700</v>
      </c>
      <c r="F7" s="727" t="s">
        <v>3557</v>
      </c>
      <c r="G7" s="731"/>
      <c r="K7"/>
    </row>
    <row r="8" spans="1:11">
      <c r="A8" s="726">
        <v>109</v>
      </c>
      <c r="B8" s="726">
        <v>10900</v>
      </c>
      <c r="C8" s="727" t="s">
        <v>725</v>
      </c>
      <c r="D8" s="726">
        <v>109</v>
      </c>
      <c r="E8" s="726">
        <v>10900</v>
      </c>
      <c r="F8" s="727" t="s">
        <v>610</v>
      </c>
      <c r="G8" s="731"/>
      <c r="K8"/>
    </row>
    <row r="9" spans="1:11">
      <c r="A9" s="726">
        <v>110</v>
      </c>
      <c r="B9" s="726">
        <v>11000</v>
      </c>
      <c r="C9" s="727" t="s">
        <v>833</v>
      </c>
      <c r="D9" s="726">
        <v>110</v>
      </c>
      <c r="E9" s="726">
        <v>11000</v>
      </c>
      <c r="F9" s="727" t="s">
        <v>2754</v>
      </c>
      <c r="G9" s="731"/>
      <c r="H9" s="729" t="s">
        <v>3370</v>
      </c>
      <c r="K9"/>
    </row>
    <row r="10" spans="1:11">
      <c r="A10" s="726">
        <v>111</v>
      </c>
      <c r="B10" s="726">
        <v>11100</v>
      </c>
      <c r="C10" s="727" t="s">
        <v>528</v>
      </c>
      <c r="D10" s="726">
        <v>111</v>
      </c>
      <c r="E10" s="726">
        <v>11100</v>
      </c>
      <c r="F10" s="727" t="s">
        <v>3064</v>
      </c>
      <c r="G10" s="731"/>
      <c r="H10" s="766">
        <v>128</v>
      </c>
      <c r="I10" s="767" t="s">
        <v>3559</v>
      </c>
      <c r="K10"/>
    </row>
    <row r="11" spans="1:11">
      <c r="A11" s="726">
        <v>112</v>
      </c>
      <c r="B11" s="726">
        <v>11200</v>
      </c>
      <c r="C11" s="727" t="s">
        <v>529</v>
      </c>
      <c r="D11" s="726">
        <v>111</v>
      </c>
      <c r="E11" s="726">
        <v>11100</v>
      </c>
      <c r="F11" s="727" t="s">
        <v>3064</v>
      </c>
      <c r="G11" s="731"/>
      <c r="H11" s="737"/>
      <c r="I11" s="768"/>
      <c r="K11"/>
    </row>
    <row r="12" spans="1:11">
      <c r="A12" s="726">
        <v>113</v>
      </c>
      <c r="B12" s="726">
        <v>11300</v>
      </c>
      <c r="C12" s="727" t="s">
        <v>530</v>
      </c>
      <c r="D12" s="726">
        <v>111</v>
      </c>
      <c r="E12" s="726">
        <v>11100</v>
      </c>
      <c r="F12" s="727" t="s">
        <v>3064</v>
      </c>
      <c r="G12" s="731"/>
      <c r="K12"/>
    </row>
    <row r="13" spans="1:11">
      <c r="A13" s="726">
        <v>114</v>
      </c>
      <c r="B13" s="726">
        <v>11400</v>
      </c>
      <c r="C13" s="727" t="s">
        <v>531</v>
      </c>
      <c r="D13" s="726">
        <v>111</v>
      </c>
      <c r="E13" s="726">
        <v>11100</v>
      </c>
      <c r="F13" s="727" t="s">
        <v>3064</v>
      </c>
      <c r="G13" s="731"/>
      <c r="K13"/>
    </row>
    <row r="14" spans="1:11">
      <c r="A14" s="726">
        <v>115</v>
      </c>
      <c r="B14" s="726">
        <v>11500</v>
      </c>
      <c r="C14" s="727" t="s">
        <v>2877</v>
      </c>
      <c r="D14" s="726">
        <v>111</v>
      </c>
      <c r="E14" s="726">
        <v>11100</v>
      </c>
      <c r="F14" s="727" t="s">
        <v>3064</v>
      </c>
      <c r="G14" s="731"/>
      <c r="H14" s="729" t="s">
        <v>3371</v>
      </c>
      <c r="K14"/>
    </row>
    <row r="15" spans="1:11">
      <c r="A15" s="726">
        <v>116</v>
      </c>
      <c r="B15" s="726">
        <v>11600</v>
      </c>
      <c r="C15" s="727" t="s">
        <v>532</v>
      </c>
      <c r="D15" s="726">
        <v>111</v>
      </c>
      <c r="E15" s="726">
        <v>11100</v>
      </c>
      <c r="F15" s="727" t="s">
        <v>3064</v>
      </c>
      <c r="G15" s="731"/>
      <c r="H15" s="726" t="s">
        <v>3560</v>
      </c>
      <c r="I15" s="727" t="s">
        <v>736</v>
      </c>
      <c r="K15"/>
    </row>
    <row r="16" spans="1:11">
      <c r="A16" s="726">
        <v>117</v>
      </c>
      <c r="B16" s="726">
        <v>11700</v>
      </c>
      <c r="C16" s="727" t="s">
        <v>533</v>
      </c>
      <c r="D16" s="726">
        <v>117</v>
      </c>
      <c r="E16" s="726">
        <v>11700</v>
      </c>
      <c r="F16" s="727" t="s">
        <v>834</v>
      </c>
      <c r="G16" s="731"/>
      <c r="H16" s="769">
        <v>870</v>
      </c>
      <c r="I16" s="727" t="s">
        <v>541</v>
      </c>
      <c r="K16"/>
    </row>
    <row r="17" spans="1:76">
      <c r="A17" s="726">
        <v>119</v>
      </c>
      <c r="B17" s="726">
        <v>11900</v>
      </c>
      <c r="C17" s="727" t="s">
        <v>2631</v>
      </c>
      <c r="D17" s="726">
        <v>119</v>
      </c>
      <c r="E17" s="726">
        <v>11900</v>
      </c>
      <c r="F17" s="727" t="s">
        <v>3372</v>
      </c>
      <c r="G17" s="731"/>
      <c r="H17" s="770">
        <v>971</v>
      </c>
      <c r="I17" s="727" t="s">
        <v>22</v>
      </c>
      <c r="K17"/>
    </row>
    <row r="18" spans="1:76">
      <c r="A18" s="726">
        <v>121</v>
      </c>
      <c r="B18" s="726">
        <v>12100</v>
      </c>
      <c r="C18" s="727" t="s">
        <v>534</v>
      </c>
      <c r="D18" s="726">
        <v>119</v>
      </c>
      <c r="E18" s="726">
        <v>11900</v>
      </c>
      <c r="F18" s="727" t="s">
        <v>3372</v>
      </c>
      <c r="G18" s="731"/>
      <c r="H18" s="726">
        <v>980</v>
      </c>
      <c r="I18" s="727" t="s">
        <v>3071</v>
      </c>
      <c r="K18"/>
    </row>
    <row r="19" spans="1:76">
      <c r="A19" s="726">
        <v>122</v>
      </c>
      <c r="B19" s="726">
        <v>12200</v>
      </c>
      <c r="C19" s="727" t="s">
        <v>535</v>
      </c>
      <c r="D19" s="726">
        <v>122</v>
      </c>
      <c r="E19" s="726">
        <v>12200</v>
      </c>
      <c r="F19" s="727" t="s">
        <v>655</v>
      </c>
      <c r="G19" s="731"/>
      <c r="H19" s="726">
        <v>989</v>
      </c>
      <c r="I19" s="727" t="s">
        <v>844</v>
      </c>
      <c r="K19"/>
    </row>
    <row r="20" spans="1:76">
      <c r="A20" s="726">
        <v>123</v>
      </c>
      <c r="B20" s="726">
        <v>12300</v>
      </c>
      <c r="C20" s="727" t="s">
        <v>536</v>
      </c>
      <c r="D20" s="726">
        <v>123</v>
      </c>
      <c r="E20" s="726">
        <v>12300</v>
      </c>
      <c r="F20" s="727" t="s">
        <v>3103</v>
      </c>
      <c r="G20" s="728"/>
      <c r="H20" s="726">
        <v>995</v>
      </c>
      <c r="I20" s="727" t="s">
        <v>2649</v>
      </c>
      <c r="K20"/>
    </row>
    <row r="21" spans="1:76" s="631" customFormat="1">
      <c r="A21" s="726">
        <v>125</v>
      </c>
      <c r="B21" s="726">
        <v>12500</v>
      </c>
      <c r="C21" s="727" t="s">
        <v>537</v>
      </c>
      <c r="D21" s="726">
        <v>111</v>
      </c>
      <c r="E21" s="726">
        <v>11100</v>
      </c>
      <c r="F21" s="727" t="s">
        <v>3064</v>
      </c>
      <c r="G21" s="731"/>
      <c r="H21" s="729" t="s">
        <v>3375</v>
      </c>
      <c r="I21" s="738"/>
      <c r="J21" s="184"/>
      <c r="K21"/>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row>
    <row r="22" spans="1:76">
      <c r="A22" s="726">
        <v>127</v>
      </c>
      <c r="B22" s="726">
        <v>12700</v>
      </c>
      <c r="C22" s="727" t="s">
        <v>538</v>
      </c>
      <c r="D22" s="726">
        <v>127</v>
      </c>
      <c r="E22" s="726">
        <v>12700</v>
      </c>
      <c r="F22" s="727" t="s">
        <v>3561</v>
      </c>
      <c r="G22" s="731"/>
      <c r="H22" s="726">
        <v>14800</v>
      </c>
      <c r="I22" s="727" t="s">
        <v>546</v>
      </c>
      <c r="K22"/>
    </row>
    <row r="23" spans="1:76">
      <c r="A23" s="733">
        <v>128</v>
      </c>
      <c r="B23" s="733">
        <v>12800</v>
      </c>
      <c r="C23" s="734" t="s">
        <v>3562</v>
      </c>
      <c r="D23" s="733">
        <v>912</v>
      </c>
      <c r="E23" s="733">
        <v>91200</v>
      </c>
      <c r="F23" s="734" t="s">
        <v>611</v>
      </c>
      <c r="G23" s="771" t="s">
        <v>3378</v>
      </c>
      <c r="H23" s="726">
        <v>85600</v>
      </c>
      <c r="I23" s="727" t="s">
        <v>3396</v>
      </c>
      <c r="K23"/>
    </row>
    <row r="24" spans="1:76">
      <c r="A24" s="726">
        <v>129</v>
      </c>
      <c r="B24" s="726">
        <v>12900</v>
      </c>
      <c r="C24" s="727" t="s">
        <v>542</v>
      </c>
      <c r="D24" s="726">
        <v>129</v>
      </c>
      <c r="E24" s="726">
        <v>12900</v>
      </c>
      <c r="F24" s="727" t="s">
        <v>3373</v>
      </c>
      <c r="G24" s="731"/>
      <c r="H24" s="772"/>
      <c r="I24" s="738"/>
      <c r="K24"/>
    </row>
    <row r="25" spans="1:76">
      <c r="A25" s="726">
        <v>132</v>
      </c>
      <c r="B25" s="726">
        <v>13200</v>
      </c>
      <c r="C25" s="727" t="s">
        <v>726</v>
      </c>
      <c r="D25" s="726">
        <v>132</v>
      </c>
      <c r="E25" s="726">
        <v>13200</v>
      </c>
      <c r="F25" s="727" t="s">
        <v>835</v>
      </c>
      <c r="G25" s="731"/>
      <c r="H25" s="772"/>
      <c r="I25" s="738"/>
      <c r="K25"/>
    </row>
    <row r="26" spans="1:76">
      <c r="A26" s="726">
        <v>133</v>
      </c>
      <c r="B26" s="726">
        <v>13300</v>
      </c>
      <c r="C26" s="727" t="s">
        <v>543</v>
      </c>
      <c r="D26" s="726">
        <v>133</v>
      </c>
      <c r="E26" s="726">
        <v>13300</v>
      </c>
      <c r="F26" s="727" t="s">
        <v>509</v>
      </c>
      <c r="G26" s="731"/>
      <c r="H26" s="772"/>
      <c r="I26" s="768"/>
      <c r="K26"/>
    </row>
    <row r="27" spans="1:76">
      <c r="A27" s="726">
        <v>136</v>
      </c>
      <c r="B27" s="726">
        <v>13600</v>
      </c>
      <c r="C27" s="727" t="s">
        <v>113</v>
      </c>
      <c r="D27" s="726">
        <v>136</v>
      </c>
      <c r="E27" s="726">
        <v>13600</v>
      </c>
      <c r="F27" s="727" t="s">
        <v>3374</v>
      </c>
      <c r="G27" s="731"/>
      <c r="K27"/>
    </row>
    <row r="28" spans="1:76">
      <c r="A28" s="726">
        <v>140</v>
      </c>
      <c r="B28" s="726">
        <v>14000</v>
      </c>
      <c r="C28" s="727" t="s">
        <v>544</v>
      </c>
      <c r="D28" s="726">
        <v>140</v>
      </c>
      <c r="E28" s="726">
        <v>14000</v>
      </c>
      <c r="F28" s="727" t="s">
        <v>3563</v>
      </c>
      <c r="G28" s="731"/>
      <c r="I28" s="730"/>
      <c r="K28"/>
    </row>
    <row r="29" spans="1:76" ht="33.75">
      <c r="A29" s="726">
        <v>141</v>
      </c>
      <c r="B29" s="726">
        <v>14100</v>
      </c>
      <c r="C29" s="727" t="s">
        <v>2632</v>
      </c>
      <c r="D29" s="726">
        <v>141</v>
      </c>
      <c r="E29" s="726">
        <v>14100</v>
      </c>
      <c r="F29" s="727" t="s">
        <v>619</v>
      </c>
      <c r="G29" s="736" t="s">
        <v>3376</v>
      </c>
      <c r="H29" s="735"/>
      <c r="I29" s="730"/>
      <c r="K29"/>
    </row>
    <row r="30" spans="1:76">
      <c r="A30" s="726">
        <v>142</v>
      </c>
      <c r="B30" s="726">
        <v>14200</v>
      </c>
      <c r="C30" s="727" t="s">
        <v>612</v>
      </c>
      <c r="D30" s="726">
        <v>107</v>
      </c>
      <c r="E30" s="726">
        <v>10700</v>
      </c>
      <c r="F30" s="727" t="s">
        <v>3557</v>
      </c>
      <c r="G30" s="731"/>
      <c r="H30" s="84"/>
      <c r="I30" s="738"/>
      <c r="K30"/>
    </row>
    <row r="31" spans="1:76">
      <c r="A31" s="726">
        <v>143</v>
      </c>
      <c r="B31" s="726">
        <v>14300</v>
      </c>
      <c r="C31" s="727" t="s">
        <v>3110</v>
      </c>
      <c r="D31" s="726">
        <v>141</v>
      </c>
      <c r="E31" s="726">
        <v>14100</v>
      </c>
      <c r="F31" s="727" t="s">
        <v>619</v>
      </c>
      <c r="G31" s="731"/>
      <c r="H31" s="737"/>
      <c r="I31" s="738"/>
      <c r="K31"/>
    </row>
    <row r="32" spans="1:76">
      <c r="A32" s="726">
        <v>145</v>
      </c>
      <c r="B32" s="726">
        <v>14500</v>
      </c>
      <c r="C32" s="727" t="s">
        <v>3377</v>
      </c>
      <c r="D32" s="726">
        <v>107</v>
      </c>
      <c r="E32" s="726">
        <v>10700</v>
      </c>
      <c r="F32" s="727" t="s">
        <v>3557</v>
      </c>
      <c r="G32" s="731"/>
      <c r="H32" s="737"/>
      <c r="I32" s="738"/>
      <c r="K32"/>
    </row>
    <row r="33" spans="1:11">
      <c r="A33" s="726">
        <v>146</v>
      </c>
      <c r="B33" s="726">
        <v>14600</v>
      </c>
      <c r="C33" s="727" t="s">
        <v>545</v>
      </c>
      <c r="D33" s="726">
        <v>146</v>
      </c>
      <c r="E33" s="726">
        <v>14600</v>
      </c>
      <c r="F33" s="727" t="s">
        <v>3104</v>
      </c>
      <c r="G33" s="731"/>
      <c r="H33" s="737"/>
      <c r="I33" s="738"/>
      <c r="K33"/>
    </row>
    <row r="34" spans="1:11">
      <c r="A34" s="726">
        <v>147</v>
      </c>
      <c r="B34" s="726">
        <v>14700</v>
      </c>
      <c r="C34" s="727" t="s">
        <v>620</v>
      </c>
      <c r="D34" s="726">
        <v>151</v>
      </c>
      <c r="E34" s="726">
        <v>15100</v>
      </c>
      <c r="F34" s="727" t="s">
        <v>3111</v>
      </c>
      <c r="G34" s="728"/>
      <c r="H34" s="737"/>
      <c r="I34" s="738"/>
      <c r="K34"/>
    </row>
    <row r="35" spans="1:11">
      <c r="A35" s="726">
        <v>148</v>
      </c>
      <c r="B35" s="726">
        <v>14800</v>
      </c>
      <c r="C35" s="727" t="s">
        <v>546</v>
      </c>
      <c r="D35" s="726">
        <v>151</v>
      </c>
      <c r="E35" s="726">
        <v>15100</v>
      </c>
      <c r="F35" s="727" t="s">
        <v>613</v>
      </c>
      <c r="G35" s="731" t="s">
        <v>3564</v>
      </c>
      <c r="K35"/>
    </row>
    <row r="36" spans="1:11">
      <c r="A36" s="726">
        <v>149</v>
      </c>
      <c r="B36" s="726">
        <v>14900</v>
      </c>
      <c r="C36" s="727" t="s">
        <v>547</v>
      </c>
      <c r="D36" s="726">
        <v>129</v>
      </c>
      <c r="E36" s="726">
        <v>12900</v>
      </c>
      <c r="F36" s="727" t="s">
        <v>3373</v>
      </c>
      <c r="G36" s="731"/>
      <c r="K36"/>
    </row>
    <row r="37" spans="1:11">
      <c r="A37" s="726">
        <v>151</v>
      </c>
      <c r="B37" s="726">
        <v>15100</v>
      </c>
      <c r="C37" s="727" t="s">
        <v>548</v>
      </c>
      <c r="D37" s="726">
        <v>151</v>
      </c>
      <c r="E37" s="726">
        <v>15100</v>
      </c>
      <c r="F37" s="727" t="s">
        <v>613</v>
      </c>
      <c r="G37" s="731"/>
      <c r="K37"/>
    </row>
    <row r="38" spans="1:11">
      <c r="A38" s="726">
        <v>152</v>
      </c>
      <c r="B38" s="726">
        <v>15200</v>
      </c>
      <c r="C38" s="727" t="s">
        <v>549</v>
      </c>
      <c r="D38" s="726">
        <v>152</v>
      </c>
      <c r="E38" s="726">
        <v>15200</v>
      </c>
      <c r="F38" s="727" t="s">
        <v>510</v>
      </c>
      <c r="G38" s="731"/>
      <c r="K38"/>
    </row>
    <row r="39" spans="1:11">
      <c r="A39" s="726">
        <v>154</v>
      </c>
      <c r="B39" s="726">
        <v>15400</v>
      </c>
      <c r="C39" s="727" t="s">
        <v>550</v>
      </c>
      <c r="D39" s="726">
        <v>154</v>
      </c>
      <c r="E39" s="726">
        <v>15400</v>
      </c>
      <c r="F39" s="727" t="s">
        <v>3112</v>
      </c>
      <c r="G39" s="731"/>
      <c r="K39"/>
    </row>
    <row r="40" spans="1:11">
      <c r="A40" s="726">
        <v>155</v>
      </c>
      <c r="B40" s="726">
        <v>15500</v>
      </c>
      <c r="C40" s="727" t="s">
        <v>551</v>
      </c>
      <c r="D40" s="726">
        <v>152</v>
      </c>
      <c r="E40" s="726">
        <v>15200</v>
      </c>
      <c r="F40" s="727" t="s">
        <v>510</v>
      </c>
      <c r="G40" s="731"/>
      <c r="K40"/>
    </row>
    <row r="41" spans="1:11">
      <c r="A41" s="726">
        <v>156</v>
      </c>
      <c r="B41" s="726">
        <v>15600</v>
      </c>
      <c r="C41" s="727" t="s">
        <v>552</v>
      </c>
      <c r="D41" s="726">
        <v>156</v>
      </c>
      <c r="E41" s="726">
        <v>15600</v>
      </c>
      <c r="F41" s="727" t="s">
        <v>3565</v>
      </c>
      <c r="G41" s="731"/>
      <c r="H41" s="737"/>
      <c r="I41" s="738"/>
      <c r="K41"/>
    </row>
    <row r="42" spans="1:11">
      <c r="A42" s="726">
        <v>157</v>
      </c>
      <c r="B42" s="726">
        <v>15700</v>
      </c>
      <c r="C42" s="727" t="s">
        <v>553</v>
      </c>
      <c r="D42" s="726">
        <v>157</v>
      </c>
      <c r="E42" s="726">
        <v>15700</v>
      </c>
      <c r="F42" s="727" t="s">
        <v>2633</v>
      </c>
      <c r="G42" s="731"/>
      <c r="H42" s="737"/>
      <c r="I42" s="738"/>
      <c r="K42"/>
    </row>
    <row r="43" spans="1:11">
      <c r="A43" s="726">
        <v>158</v>
      </c>
      <c r="B43" s="726">
        <v>15800</v>
      </c>
      <c r="C43" s="727" t="s">
        <v>554</v>
      </c>
      <c r="D43" s="726">
        <v>158</v>
      </c>
      <c r="E43" s="726">
        <v>15800</v>
      </c>
      <c r="F43" s="727" t="s">
        <v>3379</v>
      </c>
      <c r="G43" s="731"/>
      <c r="H43" s="739"/>
      <c r="I43" s="730"/>
      <c r="K43"/>
    </row>
    <row r="44" spans="1:11">
      <c r="A44" s="726">
        <v>160</v>
      </c>
      <c r="B44" s="726">
        <v>16000</v>
      </c>
      <c r="C44" s="727" t="s">
        <v>555</v>
      </c>
      <c r="D44" s="726">
        <v>111</v>
      </c>
      <c r="E44" s="726">
        <v>11100</v>
      </c>
      <c r="F44" s="727" t="s">
        <v>3064</v>
      </c>
      <c r="G44" s="731"/>
      <c r="H44" s="739"/>
      <c r="I44" s="730"/>
      <c r="K44"/>
    </row>
    <row r="45" spans="1:11">
      <c r="A45" s="726">
        <v>161</v>
      </c>
      <c r="B45" s="726">
        <v>16100</v>
      </c>
      <c r="C45" s="727" t="s">
        <v>556</v>
      </c>
      <c r="D45" s="726">
        <v>161</v>
      </c>
      <c r="E45" s="726">
        <v>16100</v>
      </c>
      <c r="F45" s="727" t="s">
        <v>511</v>
      </c>
      <c r="G45" s="731"/>
      <c r="H45" s="735"/>
      <c r="I45" s="730"/>
      <c r="K45"/>
    </row>
    <row r="46" spans="1:11">
      <c r="A46" s="726">
        <v>162</v>
      </c>
      <c r="B46" s="726">
        <v>16200</v>
      </c>
      <c r="C46" s="727" t="s">
        <v>124</v>
      </c>
      <c r="D46" s="726">
        <v>151</v>
      </c>
      <c r="E46" s="726">
        <v>15100</v>
      </c>
      <c r="F46" s="727" t="s">
        <v>613</v>
      </c>
      <c r="G46" s="728"/>
      <c r="H46" s="739"/>
      <c r="I46" s="730"/>
      <c r="K46"/>
    </row>
    <row r="47" spans="1:11">
      <c r="A47" s="740">
        <v>164</v>
      </c>
      <c r="B47" s="726">
        <v>16400</v>
      </c>
      <c r="C47" s="727" t="s">
        <v>2629</v>
      </c>
      <c r="D47" s="726">
        <v>129</v>
      </c>
      <c r="E47" s="726">
        <v>12900</v>
      </c>
      <c r="F47" s="727" t="s">
        <v>3373</v>
      </c>
      <c r="G47" s="731"/>
      <c r="H47" s="739"/>
      <c r="I47" s="730"/>
      <c r="K47"/>
    </row>
    <row r="48" spans="1:11">
      <c r="A48" s="726">
        <v>165</v>
      </c>
      <c r="B48" s="726">
        <v>16500</v>
      </c>
      <c r="C48" s="727" t="s">
        <v>836</v>
      </c>
      <c r="D48" s="726">
        <v>165</v>
      </c>
      <c r="E48" s="726">
        <v>16500</v>
      </c>
      <c r="F48" s="727" t="s">
        <v>2634</v>
      </c>
      <c r="G48" s="731"/>
      <c r="H48" s="735"/>
      <c r="I48" s="730"/>
      <c r="K48"/>
    </row>
    <row r="49" spans="1:11">
      <c r="A49" s="726">
        <v>166</v>
      </c>
      <c r="B49" s="726">
        <v>16600</v>
      </c>
      <c r="C49" s="727" t="s">
        <v>557</v>
      </c>
      <c r="D49" s="726">
        <v>119</v>
      </c>
      <c r="E49" s="726">
        <v>11900</v>
      </c>
      <c r="F49" s="727" t="s">
        <v>3372</v>
      </c>
      <c r="G49" s="731"/>
      <c r="H49" s="730"/>
      <c r="I49" s="730"/>
      <c r="K49"/>
    </row>
    <row r="50" spans="1:11">
      <c r="A50" s="726">
        <v>167</v>
      </c>
      <c r="B50" s="726">
        <v>16700</v>
      </c>
      <c r="C50" s="727" t="s">
        <v>3566</v>
      </c>
      <c r="D50" s="769">
        <v>167</v>
      </c>
      <c r="E50" s="769">
        <v>16700</v>
      </c>
      <c r="F50" s="727" t="s">
        <v>3567</v>
      </c>
      <c r="G50" s="731" t="s">
        <v>3568</v>
      </c>
      <c r="H50" s="730"/>
      <c r="I50" s="730"/>
      <c r="K50"/>
    </row>
    <row r="51" spans="1:11">
      <c r="A51" s="726">
        <v>171</v>
      </c>
      <c r="B51" s="726">
        <v>17100</v>
      </c>
      <c r="C51" s="727" t="s">
        <v>558</v>
      </c>
      <c r="D51" s="726">
        <v>171</v>
      </c>
      <c r="E51" s="726">
        <v>17100</v>
      </c>
      <c r="F51" s="727" t="s">
        <v>3569</v>
      </c>
      <c r="G51" s="731"/>
      <c r="H51" s="730"/>
      <c r="I51" s="730"/>
      <c r="K51"/>
    </row>
    <row r="52" spans="1:11">
      <c r="A52" s="726">
        <v>172</v>
      </c>
      <c r="B52" s="726">
        <v>17200</v>
      </c>
      <c r="C52" s="727" t="s">
        <v>727</v>
      </c>
      <c r="D52" s="726">
        <v>172</v>
      </c>
      <c r="E52" s="726">
        <v>17200</v>
      </c>
      <c r="F52" s="727" t="s">
        <v>3380</v>
      </c>
      <c r="G52" s="731"/>
      <c r="H52" s="735"/>
      <c r="I52" s="730"/>
      <c r="K52"/>
    </row>
    <row r="53" spans="1:11">
      <c r="A53" s="726">
        <v>174</v>
      </c>
      <c r="B53" s="726">
        <v>17400</v>
      </c>
      <c r="C53" s="727" t="s">
        <v>559</v>
      </c>
      <c r="D53" s="726">
        <v>174</v>
      </c>
      <c r="E53" s="726">
        <v>17400</v>
      </c>
      <c r="F53" s="727" t="s">
        <v>2878</v>
      </c>
      <c r="G53" s="728"/>
      <c r="H53" s="739"/>
      <c r="I53" s="730"/>
      <c r="K53"/>
    </row>
    <row r="54" spans="1:11">
      <c r="A54" s="726">
        <v>180</v>
      </c>
      <c r="B54" s="726">
        <v>18000</v>
      </c>
      <c r="C54" s="727" t="s">
        <v>560</v>
      </c>
      <c r="D54" s="726">
        <v>119</v>
      </c>
      <c r="E54" s="740">
        <v>11900</v>
      </c>
      <c r="F54" s="727" t="s">
        <v>3372</v>
      </c>
      <c r="G54" s="731"/>
      <c r="H54" s="739"/>
      <c r="I54" s="730"/>
      <c r="K54"/>
    </row>
    <row r="55" spans="1:11">
      <c r="A55" s="726">
        <v>181</v>
      </c>
      <c r="B55" s="726">
        <v>18100</v>
      </c>
      <c r="C55" s="727" t="s">
        <v>564</v>
      </c>
      <c r="D55" s="726">
        <v>181</v>
      </c>
      <c r="E55" s="726">
        <v>18100</v>
      </c>
      <c r="F55" s="727" t="s">
        <v>3570</v>
      </c>
      <c r="G55" s="728"/>
      <c r="H55" s="739"/>
      <c r="I55" s="738"/>
      <c r="K55"/>
    </row>
    <row r="56" spans="1:11">
      <c r="A56" s="726">
        <v>182</v>
      </c>
      <c r="B56" s="726">
        <v>18200</v>
      </c>
      <c r="C56" s="727" t="s">
        <v>565</v>
      </c>
      <c r="D56" s="726">
        <v>182</v>
      </c>
      <c r="E56" s="726">
        <v>18200</v>
      </c>
      <c r="F56" s="727" t="s">
        <v>3381</v>
      </c>
      <c r="G56" s="731"/>
      <c r="H56" s="739"/>
      <c r="I56" s="730"/>
      <c r="K56"/>
    </row>
    <row r="57" spans="1:11">
      <c r="A57" s="726">
        <v>183</v>
      </c>
      <c r="B57" s="726">
        <v>18300</v>
      </c>
      <c r="C57" s="727" t="s">
        <v>3382</v>
      </c>
      <c r="D57" s="726">
        <v>119</v>
      </c>
      <c r="E57" s="726">
        <v>11900</v>
      </c>
      <c r="F57" s="727" t="s">
        <v>3372</v>
      </c>
      <c r="G57" s="731"/>
      <c r="H57" s="739"/>
      <c r="I57" s="730"/>
      <c r="K57"/>
    </row>
    <row r="58" spans="1:11">
      <c r="A58" s="726">
        <v>185</v>
      </c>
      <c r="B58" s="726">
        <v>18500</v>
      </c>
      <c r="C58" s="727" t="s">
        <v>566</v>
      </c>
      <c r="D58" s="726">
        <v>119</v>
      </c>
      <c r="E58" s="726">
        <v>11900</v>
      </c>
      <c r="F58" s="727" t="s">
        <v>3372</v>
      </c>
      <c r="G58" s="731"/>
      <c r="I58" s="730"/>
      <c r="K58"/>
    </row>
    <row r="59" spans="1:11">
      <c r="A59" s="726">
        <v>186</v>
      </c>
      <c r="B59" s="726">
        <v>18600</v>
      </c>
      <c r="C59" s="727" t="s">
        <v>567</v>
      </c>
      <c r="D59" s="726">
        <v>119</v>
      </c>
      <c r="E59" s="726">
        <v>11900</v>
      </c>
      <c r="F59" s="727" t="s">
        <v>3372</v>
      </c>
      <c r="G59" s="731"/>
      <c r="H59" s="739"/>
      <c r="I59" s="730"/>
      <c r="K59"/>
    </row>
    <row r="60" spans="1:11">
      <c r="A60" s="726">
        <v>187</v>
      </c>
      <c r="B60" s="726">
        <v>18700</v>
      </c>
      <c r="C60" s="727" t="s">
        <v>3383</v>
      </c>
      <c r="D60" s="726">
        <v>119</v>
      </c>
      <c r="E60" s="726">
        <v>11900</v>
      </c>
      <c r="F60" s="727" t="s">
        <v>3372</v>
      </c>
      <c r="G60" s="731"/>
      <c r="H60" s="739"/>
      <c r="I60" s="730"/>
      <c r="K60"/>
    </row>
    <row r="61" spans="1:11">
      <c r="A61" s="726">
        <v>188</v>
      </c>
      <c r="B61" s="726">
        <v>18800</v>
      </c>
      <c r="C61" s="727" t="s">
        <v>568</v>
      </c>
      <c r="D61" s="726">
        <v>119</v>
      </c>
      <c r="E61" s="726">
        <v>11900</v>
      </c>
      <c r="F61" s="727" t="s">
        <v>3372</v>
      </c>
      <c r="G61" s="731"/>
      <c r="H61" s="739"/>
      <c r="I61" s="730"/>
      <c r="K61"/>
    </row>
    <row r="62" spans="1:11">
      <c r="A62" s="726">
        <v>190</v>
      </c>
      <c r="B62" s="726">
        <v>19000</v>
      </c>
      <c r="C62" s="727" t="s">
        <v>569</v>
      </c>
      <c r="D62" s="726">
        <v>119</v>
      </c>
      <c r="E62" s="726">
        <v>11900</v>
      </c>
      <c r="F62" s="727" t="s">
        <v>3372</v>
      </c>
      <c r="G62" s="731"/>
      <c r="H62" s="730"/>
      <c r="I62" s="730"/>
      <c r="K62"/>
    </row>
    <row r="63" spans="1:11">
      <c r="A63" s="726">
        <v>191</v>
      </c>
      <c r="B63" s="726">
        <v>19100</v>
      </c>
      <c r="C63" s="727" t="s">
        <v>728</v>
      </c>
      <c r="D63" s="726">
        <v>191</v>
      </c>
      <c r="E63" s="726">
        <v>19100</v>
      </c>
      <c r="F63" s="727" t="s">
        <v>3106</v>
      </c>
      <c r="G63" s="728"/>
      <c r="H63" s="735"/>
      <c r="I63" s="730"/>
      <c r="K63"/>
    </row>
    <row r="64" spans="1:11">
      <c r="A64" s="726">
        <v>192</v>
      </c>
      <c r="B64" s="726">
        <v>19200</v>
      </c>
      <c r="C64" s="727" t="s">
        <v>570</v>
      </c>
      <c r="D64" s="726">
        <v>119</v>
      </c>
      <c r="E64" s="726">
        <v>11900</v>
      </c>
      <c r="F64" s="727" t="s">
        <v>3372</v>
      </c>
      <c r="G64" s="731"/>
      <c r="H64" s="735"/>
      <c r="I64" s="730"/>
      <c r="K64"/>
    </row>
    <row r="65" spans="1:11">
      <c r="A65" s="726">
        <v>193</v>
      </c>
      <c r="B65" s="726">
        <v>19300</v>
      </c>
      <c r="C65" s="727" t="s">
        <v>125</v>
      </c>
      <c r="D65" s="726">
        <v>119</v>
      </c>
      <c r="E65" s="726">
        <v>11900</v>
      </c>
      <c r="F65" s="727" t="s">
        <v>3372</v>
      </c>
      <c r="G65" s="731"/>
      <c r="H65" s="739"/>
      <c r="I65" s="730"/>
      <c r="K65"/>
    </row>
    <row r="66" spans="1:11">
      <c r="A66" s="726">
        <v>194</v>
      </c>
      <c r="B66" s="726">
        <v>19400</v>
      </c>
      <c r="C66" s="727" t="s">
        <v>571</v>
      </c>
      <c r="D66" s="726">
        <v>194</v>
      </c>
      <c r="E66" s="726">
        <v>19400</v>
      </c>
      <c r="F66" s="727" t="s">
        <v>3107</v>
      </c>
      <c r="G66" s="728"/>
      <c r="H66" s="739"/>
      <c r="I66" s="730"/>
      <c r="K66"/>
    </row>
    <row r="67" spans="1:11">
      <c r="A67" s="726">
        <v>195</v>
      </c>
      <c r="B67" s="726">
        <v>19500</v>
      </c>
      <c r="C67" s="727" t="s">
        <v>3108</v>
      </c>
      <c r="D67" s="726">
        <v>119</v>
      </c>
      <c r="E67" s="726">
        <v>11900</v>
      </c>
      <c r="F67" s="727" t="s">
        <v>3372</v>
      </c>
      <c r="G67" s="731"/>
      <c r="H67" s="739"/>
      <c r="I67" s="730"/>
      <c r="K67"/>
    </row>
    <row r="68" spans="1:11">
      <c r="A68" s="726">
        <v>197</v>
      </c>
      <c r="B68" s="726">
        <v>19700</v>
      </c>
      <c r="C68" s="727" t="s">
        <v>729</v>
      </c>
      <c r="D68" s="726">
        <v>201</v>
      </c>
      <c r="E68" s="726">
        <v>20100</v>
      </c>
      <c r="F68" s="727" t="s">
        <v>3384</v>
      </c>
      <c r="G68" s="731"/>
      <c r="H68" s="739"/>
      <c r="I68" s="730"/>
      <c r="K68"/>
    </row>
    <row r="69" spans="1:11">
      <c r="A69" s="726">
        <v>199</v>
      </c>
      <c r="B69" s="726">
        <v>19900</v>
      </c>
      <c r="C69" s="727" t="s">
        <v>730</v>
      </c>
      <c r="D69" s="726">
        <v>199</v>
      </c>
      <c r="E69" s="726">
        <v>19900</v>
      </c>
      <c r="F69" s="727" t="s">
        <v>731</v>
      </c>
      <c r="G69" s="728"/>
      <c r="H69" s="738"/>
      <c r="I69" s="730"/>
      <c r="K69"/>
    </row>
    <row r="70" spans="1:11" ht="33.75">
      <c r="A70" s="726">
        <v>200</v>
      </c>
      <c r="B70" s="726">
        <v>20000</v>
      </c>
      <c r="C70" s="727" t="s">
        <v>2635</v>
      </c>
      <c r="D70" s="726">
        <v>201</v>
      </c>
      <c r="E70" s="726">
        <v>20100</v>
      </c>
      <c r="F70" s="727" t="s">
        <v>3384</v>
      </c>
      <c r="G70" s="773" t="s">
        <v>3385</v>
      </c>
      <c r="H70" s="739"/>
      <c r="I70" s="730"/>
      <c r="K70"/>
    </row>
    <row r="71" spans="1:11">
      <c r="A71" s="726">
        <v>201</v>
      </c>
      <c r="B71" s="726">
        <v>20100</v>
      </c>
      <c r="C71" s="727" t="s">
        <v>2755</v>
      </c>
      <c r="D71" s="726">
        <v>201</v>
      </c>
      <c r="E71" s="726">
        <v>20100</v>
      </c>
      <c r="F71" s="727" t="s">
        <v>3384</v>
      </c>
      <c r="I71" s="730"/>
      <c r="K71"/>
    </row>
    <row r="72" spans="1:11">
      <c r="A72" s="726">
        <v>202</v>
      </c>
      <c r="B72" s="726">
        <v>20200</v>
      </c>
      <c r="C72" s="727" t="s">
        <v>572</v>
      </c>
      <c r="D72" s="726">
        <v>202</v>
      </c>
      <c r="E72" s="726">
        <v>20200</v>
      </c>
      <c r="F72" s="727" t="s">
        <v>3571</v>
      </c>
      <c r="G72" s="731"/>
      <c r="H72" s="739"/>
      <c r="I72" s="730"/>
      <c r="K72"/>
    </row>
    <row r="73" spans="1:11">
      <c r="A73" s="726">
        <v>203</v>
      </c>
      <c r="B73" s="726">
        <v>20300</v>
      </c>
      <c r="C73" s="727" t="s">
        <v>798</v>
      </c>
      <c r="D73" s="726">
        <v>262</v>
      </c>
      <c r="E73" s="726">
        <v>26200</v>
      </c>
      <c r="F73" s="727" t="s">
        <v>3105</v>
      </c>
      <c r="G73" s="731"/>
      <c r="I73" s="730"/>
      <c r="K73"/>
    </row>
    <row r="74" spans="1:11">
      <c r="A74" s="726">
        <v>218</v>
      </c>
      <c r="B74" s="726">
        <v>21800</v>
      </c>
      <c r="C74" s="727" t="s">
        <v>732</v>
      </c>
      <c r="D74" s="726">
        <v>218</v>
      </c>
      <c r="E74" s="726">
        <v>21800</v>
      </c>
      <c r="F74" s="727" t="s">
        <v>127</v>
      </c>
      <c r="G74" s="728"/>
      <c r="H74" s="739"/>
      <c r="I74" s="730"/>
      <c r="K74"/>
    </row>
    <row r="75" spans="1:11">
      <c r="A75" s="726">
        <v>222</v>
      </c>
      <c r="B75" s="726">
        <v>22200</v>
      </c>
      <c r="C75" s="727" t="s">
        <v>837</v>
      </c>
      <c r="D75" s="726">
        <v>222</v>
      </c>
      <c r="E75" s="726">
        <v>22200</v>
      </c>
      <c r="F75" s="727" t="s">
        <v>3572</v>
      </c>
      <c r="G75" s="728"/>
      <c r="H75" s="739"/>
      <c r="I75" s="730"/>
      <c r="K75"/>
    </row>
    <row r="76" spans="1:11">
      <c r="A76" s="726">
        <v>223</v>
      </c>
      <c r="B76" s="726">
        <v>22300</v>
      </c>
      <c r="C76" s="727" t="s">
        <v>579</v>
      </c>
      <c r="D76" s="726">
        <v>223</v>
      </c>
      <c r="E76" s="726">
        <v>22300</v>
      </c>
      <c r="F76" s="727" t="s">
        <v>3386</v>
      </c>
      <c r="G76" s="728"/>
      <c r="H76" s="739"/>
      <c r="I76" s="730"/>
      <c r="K76"/>
    </row>
    <row r="77" spans="1:11">
      <c r="A77" s="726">
        <v>226</v>
      </c>
      <c r="B77" s="726">
        <v>22600</v>
      </c>
      <c r="C77" s="727" t="s">
        <v>580</v>
      </c>
      <c r="D77" s="726">
        <v>151</v>
      </c>
      <c r="E77" s="726">
        <v>15100</v>
      </c>
      <c r="F77" s="727" t="s">
        <v>3065</v>
      </c>
      <c r="G77" s="741"/>
      <c r="H77" s="739"/>
      <c r="I77" s="730"/>
      <c r="K77"/>
    </row>
    <row r="78" spans="1:11">
      <c r="A78" s="726">
        <v>233</v>
      </c>
      <c r="B78" s="726">
        <v>23300</v>
      </c>
      <c r="C78" s="727" t="s">
        <v>581</v>
      </c>
      <c r="D78" s="726">
        <v>233</v>
      </c>
      <c r="E78" s="726">
        <v>23300</v>
      </c>
      <c r="F78" s="727" t="s">
        <v>621</v>
      </c>
      <c r="G78" s="728"/>
      <c r="H78" s="739"/>
      <c r="I78" s="730"/>
      <c r="K78"/>
    </row>
    <row r="79" spans="1:11">
      <c r="A79" s="726">
        <v>238</v>
      </c>
      <c r="B79" s="726">
        <v>23800</v>
      </c>
      <c r="C79" s="727" t="s">
        <v>582</v>
      </c>
      <c r="D79" s="726">
        <v>238</v>
      </c>
      <c r="E79" s="726">
        <v>23800</v>
      </c>
      <c r="F79" s="727" t="s">
        <v>3573</v>
      </c>
      <c r="G79" s="728"/>
      <c r="H79" s="739"/>
      <c r="I79" s="730"/>
      <c r="K79"/>
    </row>
    <row r="80" spans="1:11">
      <c r="A80" s="726">
        <v>239</v>
      </c>
      <c r="B80" s="726">
        <v>23900</v>
      </c>
      <c r="C80" s="727" t="s">
        <v>583</v>
      </c>
      <c r="D80" s="726">
        <v>239</v>
      </c>
      <c r="E80" s="726">
        <v>23900</v>
      </c>
      <c r="F80" s="727" t="s">
        <v>3574</v>
      </c>
      <c r="G80" s="728"/>
      <c r="H80" s="739"/>
      <c r="I80" s="730"/>
      <c r="K80"/>
    </row>
    <row r="81" spans="1:11">
      <c r="A81" s="726">
        <v>244</v>
      </c>
      <c r="B81" s="726">
        <v>24400</v>
      </c>
      <c r="C81" s="727" t="s">
        <v>2636</v>
      </c>
      <c r="D81" s="726">
        <v>244</v>
      </c>
      <c r="E81" s="726">
        <v>24400</v>
      </c>
      <c r="F81" s="727" t="s">
        <v>3387</v>
      </c>
      <c r="G81" s="731"/>
      <c r="H81" s="739"/>
      <c r="I81" s="730"/>
      <c r="K81"/>
    </row>
    <row r="82" spans="1:11">
      <c r="A82" s="726">
        <v>245</v>
      </c>
      <c r="B82" s="726">
        <v>24500</v>
      </c>
      <c r="C82" s="727" t="s">
        <v>733</v>
      </c>
      <c r="D82" s="726">
        <v>245</v>
      </c>
      <c r="E82" s="726">
        <v>24500</v>
      </c>
      <c r="F82" s="727" t="s">
        <v>518</v>
      </c>
      <c r="G82" s="728"/>
      <c r="H82" s="739"/>
      <c r="I82" s="730"/>
      <c r="K82"/>
    </row>
    <row r="83" spans="1:11">
      <c r="A83" s="726">
        <v>262</v>
      </c>
      <c r="B83" s="726">
        <v>26200</v>
      </c>
      <c r="C83" s="727" t="s">
        <v>838</v>
      </c>
      <c r="D83" s="726">
        <v>262</v>
      </c>
      <c r="E83" s="726">
        <v>26200</v>
      </c>
      <c r="F83" s="727" t="s">
        <v>3105</v>
      </c>
      <c r="G83" s="731"/>
      <c r="H83" s="739"/>
      <c r="I83" s="730"/>
      <c r="K83"/>
    </row>
    <row r="84" spans="1:11">
      <c r="A84" s="726">
        <v>263</v>
      </c>
      <c r="B84" s="726">
        <v>26300</v>
      </c>
      <c r="C84" s="727" t="s">
        <v>734</v>
      </c>
      <c r="D84" s="726">
        <v>262</v>
      </c>
      <c r="E84" s="726">
        <v>26200</v>
      </c>
      <c r="F84" s="727" t="s">
        <v>3386</v>
      </c>
      <c r="G84" s="731"/>
      <c r="H84" s="739"/>
      <c r="I84" s="730"/>
      <c r="K84"/>
    </row>
    <row r="85" spans="1:11">
      <c r="A85" s="726">
        <v>301</v>
      </c>
      <c r="B85" s="726">
        <v>30100</v>
      </c>
      <c r="C85" s="727" t="s">
        <v>839</v>
      </c>
      <c r="D85" s="726">
        <v>301</v>
      </c>
      <c r="E85" s="726">
        <v>30100</v>
      </c>
      <c r="F85" s="727" t="s">
        <v>3113</v>
      </c>
      <c r="G85" s="728"/>
      <c r="H85" s="739"/>
      <c r="I85" s="730"/>
      <c r="K85"/>
    </row>
    <row r="86" spans="1:11">
      <c r="A86" s="726">
        <v>307</v>
      </c>
      <c r="B86" s="726">
        <v>30700</v>
      </c>
      <c r="C86" s="727" t="s">
        <v>2637</v>
      </c>
      <c r="D86" s="726">
        <v>301</v>
      </c>
      <c r="E86" s="726">
        <v>30100</v>
      </c>
      <c r="F86" s="727" t="s">
        <v>3113</v>
      </c>
      <c r="G86" s="728"/>
      <c r="H86" s="738"/>
      <c r="I86" s="730"/>
      <c r="K86"/>
    </row>
    <row r="87" spans="1:11">
      <c r="A87" s="726">
        <v>312</v>
      </c>
      <c r="B87" s="726">
        <v>31200</v>
      </c>
      <c r="C87" s="727" t="s">
        <v>2638</v>
      </c>
      <c r="D87" s="726">
        <v>119</v>
      </c>
      <c r="E87" s="726">
        <v>11900</v>
      </c>
      <c r="F87" s="727" t="s">
        <v>3372</v>
      </c>
      <c r="G87" s="731"/>
      <c r="H87" s="738"/>
      <c r="I87" s="730"/>
      <c r="K87"/>
    </row>
    <row r="88" spans="1:11">
      <c r="A88" s="726">
        <v>327</v>
      </c>
      <c r="B88" s="726">
        <v>32700</v>
      </c>
      <c r="C88" s="727" t="s">
        <v>3575</v>
      </c>
      <c r="D88" s="769">
        <v>327</v>
      </c>
      <c r="E88" s="769">
        <v>32700</v>
      </c>
      <c r="F88" s="727"/>
      <c r="G88" s="731" t="s">
        <v>3568</v>
      </c>
      <c r="H88" s="739"/>
      <c r="I88" s="730"/>
      <c r="K88"/>
    </row>
    <row r="89" spans="1:11">
      <c r="A89" s="726">
        <v>330</v>
      </c>
      <c r="B89" s="726">
        <v>33000</v>
      </c>
      <c r="C89" s="727" t="s">
        <v>584</v>
      </c>
      <c r="D89" s="726">
        <v>107</v>
      </c>
      <c r="E89" s="726">
        <v>10700</v>
      </c>
      <c r="F89" s="727" t="s">
        <v>3557</v>
      </c>
      <c r="G89" s="731"/>
      <c r="H89" s="739"/>
      <c r="I89" s="730"/>
      <c r="K89"/>
    </row>
    <row r="90" spans="1:11">
      <c r="A90" s="726">
        <v>350</v>
      </c>
      <c r="B90" s="726">
        <v>35000</v>
      </c>
      <c r="C90" s="727" t="s">
        <v>840</v>
      </c>
      <c r="D90" s="726">
        <v>350</v>
      </c>
      <c r="E90" s="726">
        <v>35000</v>
      </c>
      <c r="F90" s="727" t="s">
        <v>3576</v>
      </c>
      <c r="G90" s="731"/>
      <c r="H90" s="738"/>
      <c r="I90" s="730"/>
      <c r="K90"/>
    </row>
    <row r="91" spans="1:11">
      <c r="A91" s="726">
        <v>400</v>
      </c>
      <c r="B91" s="726">
        <v>40000</v>
      </c>
      <c r="C91" s="727" t="s">
        <v>3114</v>
      </c>
      <c r="D91" s="726">
        <v>425</v>
      </c>
      <c r="E91" s="726">
        <v>42500</v>
      </c>
      <c r="F91" s="727" t="s">
        <v>3388</v>
      </c>
      <c r="G91" s="731"/>
      <c r="H91" s="738"/>
      <c r="I91" s="730"/>
      <c r="K91"/>
    </row>
    <row r="92" spans="1:11">
      <c r="A92" s="726">
        <v>402</v>
      </c>
      <c r="B92" s="726">
        <v>40200</v>
      </c>
      <c r="C92" s="727" t="s">
        <v>585</v>
      </c>
      <c r="D92" s="726">
        <v>402</v>
      </c>
      <c r="E92" s="726">
        <v>40200</v>
      </c>
      <c r="F92" s="727" t="s">
        <v>2639</v>
      </c>
      <c r="G92" s="731"/>
      <c r="H92" s="739"/>
      <c r="I92" s="730"/>
      <c r="K92"/>
    </row>
    <row r="93" spans="1:11">
      <c r="A93" s="726">
        <v>403</v>
      </c>
      <c r="B93" s="726">
        <v>40300</v>
      </c>
      <c r="C93" s="727" t="s">
        <v>3066</v>
      </c>
      <c r="D93" s="726">
        <v>403</v>
      </c>
      <c r="E93" s="726">
        <v>40300</v>
      </c>
      <c r="F93" s="727" t="s">
        <v>3389</v>
      </c>
      <c r="G93" s="731"/>
      <c r="H93" s="739"/>
      <c r="I93" s="730"/>
      <c r="K93"/>
    </row>
    <row r="94" spans="1:11">
      <c r="A94" s="726">
        <v>405</v>
      </c>
      <c r="B94" s="726">
        <v>40500</v>
      </c>
      <c r="C94" s="727" t="s">
        <v>586</v>
      </c>
      <c r="D94" s="726">
        <v>151</v>
      </c>
      <c r="E94" s="726">
        <v>15100</v>
      </c>
      <c r="F94" s="727" t="s">
        <v>3115</v>
      </c>
      <c r="G94" s="728"/>
      <c r="H94" s="738"/>
      <c r="I94" s="730"/>
      <c r="K94"/>
    </row>
    <row r="95" spans="1:11">
      <c r="A95" s="726">
        <v>409</v>
      </c>
      <c r="B95" s="726">
        <v>40900</v>
      </c>
      <c r="C95" s="727" t="s">
        <v>3109</v>
      </c>
      <c r="D95" s="726">
        <v>409</v>
      </c>
      <c r="E95" s="726">
        <v>40900</v>
      </c>
      <c r="F95" s="727" t="s">
        <v>3390</v>
      </c>
      <c r="G95" s="731"/>
      <c r="H95" s="739"/>
      <c r="I95" s="730"/>
      <c r="K95"/>
    </row>
    <row r="96" spans="1:11">
      <c r="A96" s="726">
        <v>411</v>
      </c>
      <c r="B96" s="726">
        <v>41100</v>
      </c>
      <c r="C96" s="727" t="s">
        <v>2640</v>
      </c>
      <c r="D96" s="726">
        <v>411</v>
      </c>
      <c r="E96" s="726">
        <v>41100</v>
      </c>
      <c r="F96" s="727" t="s">
        <v>3116</v>
      </c>
      <c r="G96" s="731"/>
      <c r="H96" s="739"/>
      <c r="I96" s="730"/>
      <c r="K96"/>
    </row>
    <row r="97" spans="1:11">
      <c r="A97" s="726">
        <v>413</v>
      </c>
      <c r="B97" s="726">
        <v>41300</v>
      </c>
      <c r="C97" s="727" t="s">
        <v>2641</v>
      </c>
      <c r="D97" s="769">
        <v>413</v>
      </c>
      <c r="E97" s="769">
        <v>41300</v>
      </c>
      <c r="F97" s="727" t="s">
        <v>539</v>
      </c>
      <c r="G97" s="731"/>
      <c r="H97" s="739"/>
      <c r="I97" s="730"/>
      <c r="K97"/>
    </row>
    <row r="98" spans="1:11">
      <c r="A98" s="726">
        <v>417</v>
      </c>
      <c r="B98" s="726">
        <v>41700</v>
      </c>
      <c r="C98" s="727" t="s">
        <v>591</v>
      </c>
      <c r="D98" s="726">
        <v>417</v>
      </c>
      <c r="E98" s="726">
        <v>41700</v>
      </c>
      <c r="F98" s="727" t="s">
        <v>3391</v>
      </c>
      <c r="G98" s="731"/>
      <c r="H98" s="739"/>
      <c r="I98" s="730"/>
      <c r="K98"/>
    </row>
    <row r="99" spans="1:11">
      <c r="A99" s="726">
        <v>423</v>
      </c>
      <c r="B99" s="726">
        <v>42300</v>
      </c>
      <c r="C99" s="727" t="s">
        <v>540</v>
      </c>
      <c r="D99" s="726">
        <v>423</v>
      </c>
      <c r="E99" s="726">
        <v>42300</v>
      </c>
      <c r="F99" s="727" t="s">
        <v>3577</v>
      </c>
      <c r="G99" s="731"/>
      <c r="H99" s="739"/>
      <c r="I99" s="730"/>
      <c r="K99"/>
    </row>
    <row r="100" spans="1:11">
      <c r="A100" s="726">
        <v>425</v>
      </c>
      <c r="B100" s="726">
        <v>42500</v>
      </c>
      <c r="C100" s="727" t="s">
        <v>592</v>
      </c>
      <c r="D100" s="726">
        <v>425</v>
      </c>
      <c r="E100" s="726">
        <v>42500</v>
      </c>
      <c r="F100" s="727" t="s">
        <v>3578</v>
      </c>
      <c r="G100" s="731"/>
      <c r="H100" s="738"/>
      <c r="I100" s="730"/>
      <c r="K100"/>
    </row>
    <row r="101" spans="1:11">
      <c r="A101" s="726">
        <v>440</v>
      </c>
      <c r="B101" s="726">
        <v>44000</v>
      </c>
      <c r="C101" s="727" t="s">
        <v>593</v>
      </c>
      <c r="D101" s="726">
        <v>440</v>
      </c>
      <c r="E101" s="726">
        <v>44000</v>
      </c>
      <c r="F101" s="727" t="s">
        <v>3117</v>
      </c>
      <c r="G101" s="731"/>
      <c r="H101" s="738"/>
      <c r="I101" s="730"/>
      <c r="K101"/>
    </row>
    <row r="102" spans="1:11">
      <c r="A102" s="726">
        <v>454</v>
      </c>
      <c r="B102" s="726">
        <v>45400</v>
      </c>
      <c r="C102" s="727" t="s">
        <v>722</v>
      </c>
      <c r="D102" s="726">
        <v>119</v>
      </c>
      <c r="E102" s="726">
        <v>11900</v>
      </c>
      <c r="F102" s="727" t="s">
        <v>3372</v>
      </c>
      <c r="G102" s="731"/>
      <c r="H102" s="739"/>
      <c r="I102" s="730"/>
      <c r="K102"/>
    </row>
    <row r="103" spans="1:11">
      <c r="A103" s="726">
        <v>501</v>
      </c>
      <c r="B103" s="726">
        <v>50100</v>
      </c>
      <c r="C103" s="727" t="s">
        <v>594</v>
      </c>
      <c r="D103" s="726">
        <v>501</v>
      </c>
      <c r="E103" s="726">
        <v>50100</v>
      </c>
      <c r="F103" s="727" t="s">
        <v>2879</v>
      </c>
      <c r="G103" s="731"/>
      <c r="H103" s="739"/>
      <c r="I103" s="730"/>
      <c r="K103"/>
    </row>
    <row r="104" spans="1:11">
      <c r="A104" s="726">
        <v>503</v>
      </c>
      <c r="B104" s="726">
        <v>50300</v>
      </c>
      <c r="C104" s="727" t="s">
        <v>3392</v>
      </c>
      <c r="D104" s="726">
        <v>501</v>
      </c>
      <c r="E104" s="726">
        <v>50100</v>
      </c>
      <c r="F104" s="727" t="s">
        <v>2879</v>
      </c>
      <c r="G104" s="731"/>
      <c r="H104" s="739"/>
      <c r="I104" s="730"/>
      <c r="K104"/>
    </row>
    <row r="105" spans="1:11">
      <c r="A105" s="726">
        <v>505</v>
      </c>
      <c r="B105" s="726">
        <v>50500</v>
      </c>
      <c r="C105" s="727" t="s">
        <v>735</v>
      </c>
      <c r="D105" s="726">
        <v>505</v>
      </c>
      <c r="E105" s="726">
        <v>50500</v>
      </c>
      <c r="F105" s="727" t="s">
        <v>3393</v>
      </c>
      <c r="G105" s="731"/>
      <c r="H105" s="739"/>
      <c r="I105" s="730"/>
      <c r="K105"/>
    </row>
    <row r="106" spans="1:11">
      <c r="A106" s="726">
        <v>506</v>
      </c>
      <c r="B106" s="726">
        <v>50600</v>
      </c>
      <c r="C106" s="727" t="s">
        <v>595</v>
      </c>
      <c r="D106" s="726">
        <v>154</v>
      </c>
      <c r="E106" s="726">
        <v>15400</v>
      </c>
      <c r="F106" s="727" t="s">
        <v>3112</v>
      </c>
      <c r="G106" s="731"/>
      <c r="H106" s="739"/>
      <c r="I106" s="730"/>
      <c r="K106"/>
    </row>
    <row r="107" spans="1:11">
      <c r="A107" s="726">
        <v>530</v>
      </c>
      <c r="B107" s="726">
        <v>53000</v>
      </c>
      <c r="C107" s="727" t="s">
        <v>300</v>
      </c>
      <c r="D107" s="726">
        <v>154</v>
      </c>
      <c r="E107" s="726">
        <v>15400</v>
      </c>
      <c r="F107" s="727" t="s">
        <v>3112</v>
      </c>
      <c r="G107" s="731"/>
      <c r="H107" s="738"/>
      <c r="I107" s="730"/>
      <c r="K107"/>
    </row>
    <row r="108" spans="1:11">
      <c r="A108" s="726">
        <v>601</v>
      </c>
      <c r="B108" s="726">
        <v>60100</v>
      </c>
      <c r="C108" s="727" t="s">
        <v>596</v>
      </c>
      <c r="D108" s="726">
        <v>601</v>
      </c>
      <c r="E108" s="726">
        <v>60100</v>
      </c>
      <c r="F108" s="727" t="s">
        <v>3394</v>
      </c>
      <c r="G108" s="731"/>
      <c r="H108" s="738"/>
      <c r="I108" s="730"/>
      <c r="K108"/>
    </row>
    <row r="109" spans="1:11">
      <c r="A109" s="726">
        <v>602</v>
      </c>
      <c r="B109" s="726">
        <v>60200</v>
      </c>
      <c r="C109" s="727" t="s">
        <v>737</v>
      </c>
      <c r="D109" s="726">
        <v>602</v>
      </c>
      <c r="E109" s="726">
        <v>60200</v>
      </c>
      <c r="F109" s="727" t="s">
        <v>3118</v>
      </c>
      <c r="G109" s="731"/>
      <c r="H109" s="738"/>
      <c r="I109" s="730"/>
      <c r="K109"/>
    </row>
    <row r="110" spans="1:11">
      <c r="A110" s="726">
        <v>606</v>
      </c>
      <c r="B110" s="726">
        <v>60600</v>
      </c>
      <c r="C110" s="727" t="s">
        <v>738</v>
      </c>
      <c r="D110" s="726">
        <v>262</v>
      </c>
      <c r="E110" s="726">
        <v>26200</v>
      </c>
      <c r="F110" s="727" t="s">
        <v>3105</v>
      </c>
      <c r="G110" s="731"/>
      <c r="H110" s="738"/>
      <c r="I110" s="730"/>
      <c r="K110"/>
    </row>
    <row r="111" spans="1:11">
      <c r="A111" s="726">
        <v>701</v>
      </c>
      <c r="B111" s="726">
        <v>70100</v>
      </c>
      <c r="C111" s="727" t="s">
        <v>2642</v>
      </c>
      <c r="D111" s="726">
        <v>701</v>
      </c>
      <c r="E111" s="726">
        <v>70100</v>
      </c>
      <c r="F111" s="727" t="s">
        <v>301</v>
      </c>
      <c r="G111" s="731"/>
      <c r="H111" s="738"/>
      <c r="I111" s="730"/>
      <c r="K111"/>
    </row>
    <row r="112" spans="1:11">
      <c r="A112" s="726">
        <v>702</v>
      </c>
      <c r="B112" s="726">
        <v>70200</v>
      </c>
      <c r="C112" s="727" t="s">
        <v>841</v>
      </c>
      <c r="D112" s="726">
        <v>262</v>
      </c>
      <c r="E112" s="726">
        <v>26200</v>
      </c>
      <c r="F112" s="727" t="s">
        <v>3105</v>
      </c>
      <c r="G112" s="731"/>
      <c r="H112" s="738"/>
      <c r="I112" s="730"/>
      <c r="K112"/>
    </row>
    <row r="113" spans="1:11" ht="90" customHeight="1">
      <c r="A113" s="726">
        <v>711</v>
      </c>
      <c r="B113" s="726">
        <v>71100</v>
      </c>
      <c r="C113" s="727" t="s">
        <v>10</v>
      </c>
      <c r="D113" s="726">
        <v>711</v>
      </c>
      <c r="E113" s="726">
        <v>71100</v>
      </c>
      <c r="F113" s="727" t="s">
        <v>2880</v>
      </c>
      <c r="G113" s="731"/>
      <c r="H113" s="738"/>
      <c r="I113" s="730"/>
      <c r="K113"/>
    </row>
    <row r="114" spans="1:11">
      <c r="A114" s="726">
        <v>720</v>
      </c>
      <c r="B114" s="726">
        <v>72000</v>
      </c>
      <c r="C114" s="727" t="s">
        <v>3395</v>
      </c>
      <c r="D114" s="726">
        <v>720</v>
      </c>
      <c r="E114" s="726">
        <v>72000</v>
      </c>
      <c r="F114" s="727" t="s">
        <v>2643</v>
      </c>
      <c r="G114" s="731"/>
      <c r="H114" s="738"/>
      <c r="I114" s="730"/>
      <c r="K114"/>
    </row>
    <row r="115" spans="1:11">
      <c r="A115" s="726">
        <v>751</v>
      </c>
      <c r="B115" s="726">
        <v>75100</v>
      </c>
      <c r="C115" s="727" t="s">
        <v>842</v>
      </c>
      <c r="D115" s="726">
        <v>262</v>
      </c>
      <c r="E115" s="726">
        <v>26200</v>
      </c>
      <c r="F115" s="727" t="s">
        <v>3105</v>
      </c>
      <c r="G115" s="731"/>
      <c r="H115" s="738"/>
      <c r="I115" s="730"/>
      <c r="K115"/>
    </row>
    <row r="116" spans="1:11">
      <c r="A116" s="726">
        <v>765</v>
      </c>
      <c r="B116" s="726">
        <v>76500</v>
      </c>
      <c r="C116" s="727" t="s">
        <v>11</v>
      </c>
      <c r="D116" s="726">
        <v>765</v>
      </c>
      <c r="E116" s="726">
        <v>76500</v>
      </c>
      <c r="F116" s="727" t="s">
        <v>3067</v>
      </c>
      <c r="G116" s="731"/>
      <c r="H116" s="738"/>
      <c r="I116" s="730"/>
      <c r="K116"/>
    </row>
    <row r="117" spans="1:11">
      <c r="A117" s="726">
        <v>777</v>
      </c>
      <c r="B117" s="726">
        <v>77700</v>
      </c>
      <c r="C117" s="727" t="s">
        <v>12</v>
      </c>
      <c r="D117" s="726">
        <v>777</v>
      </c>
      <c r="E117" s="726">
        <v>77700</v>
      </c>
      <c r="F117" s="727" t="s">
        <v>739</v>
      </c>
      <c r="G117" s="731"/>
      <c r="H117" s="738"/>
      <c r="I117" s="730"/>
      <c r="K117"/>
    </row>
    <row r="118" spans="1:11">
      <c r="A118" s="726">
        <v>778</v>
      </c>
      <c r="B118" s="726">
        <v>77800</v>
      </c>
      <c r="C118" s="727" t="s">
        <v>229</v>
      </c>
      <c r="D118" s="726">
        <v>778</v>
      </c>
      <c r="E118" s="726">
        <v>77800</v>
      </c>
      <c r="F118" s="727" t="s">
        <v>519</v>
      </c>
      <c r="G118" s="731"/>
      <c r="H118" s="738"/>
      <c r="I118" s="730"/>
      <c r="K118"/>
    </row>
    <row r="119" spans="1:11">
      <c r="A119" s="726">
        <v>820</v>
      </c>
      <c r="B119" s="726">
        <v>82000</v>
      </c>
      <c r="C119" s="727" t="s">
        <v>13</v>
      </c>
      <c r="D119" s="726">
        <v>107</v>
      </c>
      <c r="E119" s="726">
        <v>10700</v>
      </c>
      <c r="F119" s="727" t="s">
        <v>3557</v>
      </c>
      <c r="G119" s="731"/>
      <c r="H119" s="738"/>
      <c r="I119" s="730"/>
      <c r="K119"/>
    </row>
    <row r="120" spans="1:11">
      <c r="A120" s="726">
        <v>834</v>
      </c>
      <c r="B120" s="726">
        <v>83400</v>
      </c>
      <c r="C120" s="727" t="s">
        <v>740</v>
      </c>
      <c r="D120" s="726">
        <v>107</v>
      </c>
      <c r="E120" s="726">
        <v>10700</v>
      </c>
      <c r="F120" s="727" t="s">
        <v>3557</v>
      </c>
      <c r="G120" s="731"/>
      <c r="H120" s="738"/>
      <c r="I120" s="730"/>
      <c r="K120"/>
    </row>
    <row r="121" spans="1:11">
      <c r="A121" s="726">
        <v>836</v>
      </c>
      <c r="B121" s="726">
        <v>83600</v>
      </c>
      <c r="C121" s="727" t="s">
        <v>2644</v>
      </c>
      <c r="D121" s="726">
        <v>119</v>
      </c>
      <c r="E121" s="726">
        <v>11900</v>
      </c>
      <c r="F121" s="727" t="s">
        <v>3372</v>
      </c>
      <c r="G121" s="731"/>
      <c r="H121" s="738"/>
      <c r="I121" s="730"/>
      <c r="K121"/>
    </row>
    <row r="122" spans="1:11">
      <c r="A122" s="726">
        <v>839</v>
      </c>
      <c r="B122" s="726">
        <v>83900</v>
      </c>
      <c r="C122" s="727" t="s">
        <v>14</v>
      </c>
      <c r="D122" s="726">
        <v>107</v>
      </c>
      <c r="E122" s="726">
        <v>10700</v>
      </c>
      <c r="F122" s="727" t="s">
        <v>3557</v>
      </c>
      <c r="G122" s="731"/>
      <c r="H122" s="738"/>
      <c r="I122" s="730"/>
      <c r="K122"/>
    </row>
    <row r="123" spans="1:11">
      <c r="A123" s="726">
        <v>840</v>
      </c>
      <c r="B123" s="726">
        <v>84000</v>
      </c>
      <c r="C123" s="727" t="s">
        <v>128</v>
      </c>
      <c r="D123" s="726">
        <v>107</v>
      </c>
      <c r="E123" s="726">
        <v>10700</v>
      </c>
      <c r="F123" s="727" t="s">
        <v>3557</v>
      </c>
      <c r="G123" s="731"/>
      <c r="H123" s="738"/>
      <c r="I123" s="730"/>
      <c r="K123"/>
    </row>
    <row r="124" spans="1:11">
      <c r="A124" s="726">
        <v>841</v>
      </c>
      <c r="B124" s="726">
        <v>84100</v>
      </c>
      <c r="C124" s="727" t="s">
        <v>15</v>
      </c>
      <c r="D124" s="726">
        <v>841</v>
      </c>
      <c r="E124" s="726">
        <v>84100</v>
      </c>
      <c r="F124" s="727" t="s">
        <v>3579</v>
      </c>
      <c r="G124" s="731"/>
      <c r="H124" s="738"/>
      <c r="I124" s="730"/>
      <c r="K124"/>
    </row>
    <row r="125" spans="1:11">
      <c r="A125" s="726">
        <v>842</v>
      </c>
      <c r="B125" s="726">
        <v>84200</v>
      </c>
      <c r="C125" s="727" t="s">
        <v>16</v>
      </c>
      <c r="D125" s="726">
        <v>107</v>
      </c>
      <c r="E125" s="726">
        <v>10700</v>
      </c>
      <c r="F125" s="727" t="s">
        <v>3557</v>
      </c>
      <c r="G125" s="731"/>
      <c r="H125" s="738"/>
      <c r="I125" s="730"/>
      <c r="K125"/>
    </row>
    <row r="126" spans="1:11">
      <c r="A126" s="726">
        <v>844</v>
      </c>
      <c r="B126" s="726">
        <v>84400</v>
      </c>
      <c r="C126" s="727" t="s">
        <v>17</v>
      </c>
      <c r="D126" s="726">
        <v>107</v>
      </c>
      <c r="E126" s="726">
        <v>10700</v>
      </c>
      <c r="F126" s="727" t="s">
        <v>3557</v>
      </c>
      <c r="G126" s="731"/>
      <c r="H126" s="738"/>
      <c r="I126" s="730"/>
      <c r="K126"/>
    </row>
    <row r="127" spans="1:11">
      <c r="A127" s="726">
        <v>845</v>
      </c>
      <c r="B127" s="726">
        <v>84500</v>
      </c>
      <c r="C127" s="727" t="s">
        <v>2756</v>
      </c>
      <c r="D127" s="726">
        <v>107</v>
      </c>
      <c r="E127" s="726">
        <v>10700</v>
      </c>
      <c r="F127" s="727" t="s">
        <v>3557</v>
      </c>
      <c r="G127" s="731"/>
      <c r="H127" s="739"/>
      <c r="I127" s="730"/>
      <c r="K127"/>
    </row>
    <row r="128" spans="1:11">
      <c r="A128" s="726">
        <v>847</v>
      </c>
      <c r="B128" s="726">
        <v>84700</v>
      </c>
      <c r="C128" s="727" t="s">
        <v>741</v>
      </c>
      <c r="D128" s="726">
        <v>107</v>
      </c>
      <c r="E128" s="726">
        <v>10700</v>
      </c>
      <c r="F128" s="727" t="s">
        <v>3557</v>
      </c>
      <c r="G128" s="731"/>
      <c r="H128" s="739"/>
      <c r="I128" s="730"/>
      <c r="K128"/>
    </row>
    <row r="129" spans="1:11">
      <c r="A129" s="726">
        <v>848</v>
      </c>
      <c r="B129" s="726">
        <v>84800</v>
      </c>
      <c r="C129" s="727" t="s">
        <v>126</v>
      </c>
      <c r="D129" s="726">
        <v>848</v>
      </c>
      <c r="E129" s="726">
        <v>84800</v>
      </c>
      <c r="F129" s="727" t="s">
        <v>3119</v>
      </c>
      <c r="G129" s="731"/>
      <c r="H129" s="739"/>
      <c r="I129" s="730"/>
      <c r="K129"/>
    </row>
    <row r="130" spans="1:11">
      <c r="A130" s="726">
        <v>856</v>
      </c>
      <c r="B130" s="726">
        <v>85600</v>
      </c>
      <c r="C130" s="727" t="s">
        <v>3396</v>
      </c>
      <c r="D130" s="769">
        <v>720</v>
      </c>
      <c r="E130" s="769">
        <v>72000</v>
      </c>
      <c r="F130" s="727" t="s">
        <v>2643</v>
      </c>
      <c r="G130" s="731" t="s">
        <v>3564</v>
      </c>
      <c r="H130" s="738"/>
      <c r="I130" s="730"/>
      <c r="K130"/>
    </row>
    <row r="131" spans="1:11" ht="71.25" customHeight="1">
      <c r="A131" s="726">
        <v>858</v>
      </c>
      <c r="B131" s="726">
        <v>85800</v>
      </c>
      <c r="C131" s="727" t="s">
        <v>3580</v>
      </c>
      <c r="D131" s="726">
        <v>107</v>
      </c>
      <c r="E131" s="726">
        <v>10700</v>
      </c>
      <c r="F131" s="727" t="s">
        <v>3557</v>
      </c>
      <c r="G131" s="731"/>
      <c r="H131" s="768"/>
      <c r="I131" s="730"/>
      <c r="K131"/>
    </row>
    <row r="132" spans="1:11">
      <c r="A132" s="726">
        <v>872</v>
      </c>
      <c r="B132" s="726">
        <v>87200</v>
      </c>
      <c r="C132" s="727" t="s">
        <v>2645</v>
      </c>
      <c r="D132" s="726">
        <v>107</v>
      </c>
      <c r="E132" s="726">
        <v>10700</v>
      </c>
      <c r="F132" s="727" t="s">
        <v>3557</v>
      </c>
      <c r="G132" s="731"/>
      <c r="H132" s="738"/>
      <c r="I132" s="730"/>
      <c r="K132"/>
    </row>
    <row r="133" spans="1:11">
      <c r="A133" s="726">
        <v>876</v>
      </c>
      <c r="B133" s="726">
        <v>87600</v>
      </c>
      <c r="C133" s="727" t="s">
        <v>843</v>
      </c>
      <c r="D133" s="726">
        <v>107</v>
      </c>
      <c r="E133" s="726">
        <v>10700</v>
      </c>
      <c r="F133" s="727" t="s">
        <v>3557</v>
      </c>
      <c r="G133" s="731"/>
      <c r="H133" s="739"/>
      <c r="I133" s="730"/>
      <c r="K133"/>
    </row>
    <row r="134" spans="1:11">
      <c r="A134" s="726">
        <v>879</v>
      </c>
      <c r="B134" s="740">
        <v>87900</v>
      </c>
      <c r="C134" s="727" t="s">
        <v>3068</v>
      </c>
      <c r="D134" s="726">
        <v>151</v>
      </c>
      <c r="E134" s="726">
        <v>15100</v>
      </c>
      <c r="F134" s="774" t="s">
        <v>613</v>
      </c>
      <c r="G134" s="731" t="s">
        <v>3564</v>
      </c>
      <c r="H134" s="739"/>
      <c r="I134" s="730"/>
      <c r="K134"/>
    </row>
    <row r="135" spans="1:11" ht="31.5" customHeight="1">
      <c r="A135" s="726">
        <v>880</v>
      </c>
      <c r="B135" s="740">
        <v>88000</v>
      </c>
      <c r="C135" s="732" t="s">
        <v>3069</v>
      </c>
      <c r="D135" s="726">
        <v>107</v>
      </c>
      <c r="E135" s="726">
        <v>10700</v>
      </c>
      <c r="F135" s="727" t="s">
        <v>3557</v>
      </c>
      <c r="G135" s="731"/>
      <c r="H135" s="739"/>
      <c r="I135" s="730"/>
      <c r="K135"/>
    </row>
    <row r="136" spans="1:11">
      <c r="A136" s="726">
        <v>882</v>
      </c>
      <c r="B136" s="740">
        <v>88200</v>
      </c>
      <c r="C136" s="732" t="s">
        <v>3120</v>
      </c>
      <c r="D136" s="726">
        <v>107</v>
      </c>
      <c r="E136" s="726">
        <v>10700</v>
      </c>
      <c r="F136" s="727" t="s">
        <v>3557</v>
      </c>
      <c r="G136" s="731"/>
      <c r="H136" s="739"/>
      <c r="I136" s="730"/>
      <c r="K136"/>
    </row>
    <row r="137" spans="1:11">
      <c r="A137" s="726">
        <v>883</v>
      </c>
      <c r="B137" s="740">
        <v>88300</v>
      </c>
      <c r="C137" s="732" t="s">
        <v>3556</v>
      </c>
      <c r="D137" s="769">
        <v>107</v>
      </c>
      <c r="E137" s="769">
        <v>10700</v>
      </c>
      <c r="F137" s="727" t="s">
        <v>3557</v>
      </c>
      <c r="G137" s="731" t="s">
        <v>3568</v>
      </c>
      <c r="H137" s="739"/>
      <c r="I137" s="730"/>
      <c r="K137"/>
    </row>
    <row r="138" spans="1:11">
      <c r="A138" s="726">
        <v>902</v>
      </c>
      <c r="B138" s="740">
        <v>90200</v>
      </c>
      <c r="C138" s="732" t="s">
        <v>3121</v>
      </c>
      <c r="D138" s="726">
        <v>912</v>
      </c>
      <c r="E138" s="726">
        <v>91200</v>
      </c>
      <c r="F138" s="727" t="s">
        <v>611</v>
      </c>
      <c r="G138" s="731"/>
      <c r="H138" s="739"/>
      <c r="I138" s="730"/>
      <c r="K138"/>
    </row>
    <row r="139" spans="1:11">
      <c r="A139" s="726">
        <v>903</v>
      </c>
      <c r="B139" s="740">
        <v>90300</v>
      </c>
      <c r="C139" s="732" t="s">
        <v>3397</v>
      </c>
      <c r="D139" s="726">
        <v>912</v>
      </c>
      <c r="E139" s="726">
        <v>91200</v>
      </c>
      <c r="F139" s="727" t="s">
        <v>611</v>
      </c>
      <c r="G139" s="731"/>
      <c r="H139" s="739"/>
      <c r="I139" s="730"/>
      <c r="K139"/>
    </row>
    <row r="140" spans="1:11">
      <c r="A140" s="726">
        <v>912</v>
      </c>
      <c r="B140" s="726">
        <v>91200</v>
      </c>
      <c r="C140" s="727" t="s">
        <v>114</v>
      </c>
      <c r="D140" s="726">
        <v>912</v>
      </c>
      <c r="E140" s="726">
        <v>91200</v>
      </c>
      <c r="F140" s="727" t="s">
        <v>611</v>
      </c>
      <c r="G140" s="731"/>
      <c r="H140" s="739"/>
      <c r="I140" s="730"/>
      <c r="K140"/>
    </row>
    <row r="141" spans="1:11">
      <c r="A141" s="726">
        <v>913</v>
      </c>
      <c r="B141" s="726">
        <v>91300</v>
      </c>
      <c r="C141" s="727" t="s">
        <v>2630</v>
      </c>
      <c r="D141" s="733">
        <v>912</v>
      </c>
      <c r="E141" s="726">
        <v>91200</v>
      </c>
      <c r="F141" s="727" t="s">
        <v>611</v>
      </c>
      <c r="G141" s="731"/>
      <c r="H141" s="739"/>
      <c r="I141" s="730"/>
      <c r="K141"/>
    </row>
    <row r="142" spans="1:11">
      <c r="A142" s="726">
        <v>921</v>
      </c>
      <c r="B142" s="726">
        <v>92100</v>
      </c>
      <c r="C142" s="727" t="s">
        <v>18</v>
      </c>
      <c r="D142" s="726">
        <v>119</v>
      </c>
      <c r="E142" s="726">
        <v>11900</v>
      </c>
      <c r="F142" s="727" t="s">
        <v>3372</v>
      </c>
      <c r="G142" s="731"/>
      <c r="H142" s="739"/>
      <c r="I142" s="730"/>
      <c r="K142"/>
    </row>
    <row r="143" spans="1:11">
      <c r="A143" s="726">
        <v>922</v>
      </c>
      <c r="B143" s="726">
        <v>92200</v>
      </c>
      <c r="C143" s="727" t="s">
        <v>2757</v>
      </c>
      <c r="D143" s="726">
        <v>912</v>
      </c>
      <c r="E143" s="726">
        <v>91200</v>
      </c>
      <c r="F143" s="727" t="s">
        <v>611</v>
      </c>
      <c r="G143" s="731"/>
      <c r="H143" s="739"/>
      <c r="I143" s="730"/>
      <c r="K143"/>
    </row>
    <row r="144" spans="1:11">
      <c r="A144" s="726">
        <v>942</v>
      </c>
      <c r="B144" s="726">
        <v>94200</v>
      </c>
      <c r="C144" s="727" t="s">
        <v>19</v>
      </c>
      <c r="D144" s="726">
        <v>942</v>
      </c>
      <c r="E144" s="726">
        <v>94200</v>
      </c>
      <c r="F144" s="727" t="s">
        <v>2881</v>
      </c>
      <c r="G144" s="736"/>
      <c r="H144" s="739"/>
      <c r="I144" s="730"/>
      <c r="K144"/>
    </row>
    <row r="145" spans="1:11">
      <c r="A145" s="726">
        <v>949</v>
      </c>
      <c r="B145" s="726">
        <v>94900</v>
      </c>
      <c r="C145" s="727" t="s">
        <v>2646</v>
      </c>
      <c r="D145" s="726">
        <v>122</v>
      </c>
      <c r="E145" s="726">
        <v>12200</v>
      </c>
      <c r="F145" s="727" t="s">
        <v>655</v>
      </c>
      <c r="G145" s="731"/>
      <c r="H145" s="739"/>
      <c r="I145" s="730"/>
      <c r="K145"/>
    </row>
    <row r="146" spans="1:11">
      <c r="A146" s="726">
        <v>950</v>
      </c>
      <c r="B146" s="726">
        <v>95000</v>
      </c>
      <c r="C146" s="727" t="s">
        <v>2647</v>
      </c>
      <c r="D146" s="726">
        <v>122</v>
      </c>
      <c r="E146" s="726">
        <v>12200</v>
      </c>
      <c r="F146" s="727" t="s">
        <v>655</v>
      </c>
      <c r="G146" s="731"/>
      <c r="K146"/>
    </row>
    <row r="147" spans="1:11">
      <c r="A147" s="726">
        <v>951</v>
      </c>
      <c r="B147" s="726">
        <v>95100</v>
      </c>
      <c r="C147" s="727" t="s">
        <v>2648</v>
      </c>
      <c r="D147" s="726">
        <v>122</v>
      </c>
      <c r="E147" s="726">
        <v>12200</v>
      </c>
      <c r="F147" s="727" t="s">
        <v>655</v>
      </c>
      <c r="G147" s="731"/>
      <c r="K147"/>
    </row>
    <row r="148" spans="1:11">
      <c r="A148" s="726">
        <v>957</v>
      </c>
      <c r="B148" s="726">
        <v>95700</v>
      </c>
      <c r="C148" s="727" t="s">
        <v>2758</v>
      </c>
      <c r="D148" s="726">
        <v>957</v>
      </c>
      <c r="E148" s="726">
        <v>95700</v>
      </c>
      <c r="F148" s="727" t="s">
        <v>520</v>
      </c>
      <c r="G148" s="731"/>
      <c r="K148"/>
    </row>
    <row r="149" spans="1:11">
      <c r="A149" s="726">
        <v>960</v>
      </c>
      <c r="B149" s="726">
        <v>96000</v>
      </c>
      <c r="C149" s="727" t="s">
        <v>20</v>
      </c>
      <c r="D149" s="726">
        <v>960</v>
      </c>
      <c r="E149" s="726">
        <v>96000</v>
      </c>
      <c r="F149" s="727" t="s">
        <v>3070</v>
      </c>
      <c r="G149" s="731"/>
      <c r="K149"/>
    </row>
    <row r="150" spans="1:11">
      <c r="A150" s="726">
        <v>961</v>
      </c>
      <c r="B150" s="726">
        <v>96100</v>
      </c>
      <c r="C150" s="727" t="s">
        <v>21</v>
      </c>
      <c r="D150" s="726">
        <v>961</v>
      </c>
      <c r="E150" s="726">
        <v>96100</v>
      </c>
      <c r="F150" s="727" t="s">
        <v>3122</v>
      </c>
      <c r="G150" s="731"/>
      <c r="K150"/>
    </row>
    <row r="151" spans="1:11">
      <c r="A151" s="726">
        <v>977</v>
      </c>
      <c r="B151" s="726">
        <v>97700</v>
      </c>
      <c r="C151" s="727" t="s">
        <v>3558</v>
      </c>
      <c r="D151" s="726">
        <v>977</v>
      </c>
      <c r="E151" s="726">
        <v>97700</v>
      </c>
      <c r="F151" s="727" t="s">
        <v>3581</v>
      </c>
      <c r="G151" s="731" t="s">
        <v>3568</v>
      </c>
      <c r="K151"/>
    </row>
    <row r="152" spans="1:11">
      <c r="A152" s="726">
        <v>984</v>
      </c>
      <c r="B152" s="726">
        <v>98400</v>
      </c>
      <c r="C152" s="727" t="s">
        <v>3072</v>
      </c>
      <c r="D152" s="726">
        <v>122</v>
      </c>
      <c r="E152" s="726">
        <v>12200</v>
      </c>
      <c r="F152" s="727" t="s">
        <v>655</v>
      </c>
      <c r="G152" s="731"/>
      <c r="K152"/>
    </row>
    <row r="153" spans="1:11">
      <c r="A153" s="726">
        <v>994</v>
      </c>
      <c r="B153" s="726">
        <v>99400</v>
      </c>
      <c r="C153" s="727" t="s">
        <v>3582</v>
      </c>
      <c r="D153" s="726">
        <v>152</v>
      </c>
      <c r="E153" s="726">
        <v>15200</v>
      </c>
      <c r="F153" s="727" t="s">
        <v>510</v>
      </c>
      <c r="G153" s="731"/>
      <c r="K153"/>
    </row>
    <row r="154" spans="1:11">
      <c r="A154" s="726">
        <v>996</v>
      </c>
      <c r="B154" s="726">
        <v>99600</v>
      </c>
      <c r="C154" s="727" t="s">
        <v>3583</v>
      </c>
      <c r="D154" s="726">
        <v>152</v>
      </c>
      <c r="E154" s="726">
        <v>15200</v>
      </c>
      <c r="F154" s="727" t="s">
        <v>510</v>
      </c>
      <c r="G154" s="731"/>
      <c r="K154"/>
    </row>
  </sheetData>
  <autoFilter ref="A1:F154" xr:uid="{00000000-0001-0000-0000-000000000000}"/>
  <customSheetViews>
    <customSheetView guid="{354F272F-821B-473B-9CC5-4001AD879606}" fitToPage="1" hiddenColumns="1">
      <selection activeCell="J20" sqref="J20"/>
      <pageMargins left="0.75" right="0.75" top="1" bottom="1" header="0.5" footer="0.5"/>
      <pageSetup scale="28" fitToHeight="5" orientation="portrait" r:id="rId1"/>
      <headerFooter alignWithMargins="0"/>
    </customSheetView>
  </customSheetViews>
  <pageMargins left="0.75" right="0.75" top="1" bottom="1" header="0.5" footer="0.5"/>
  <pageSetup scale="76" fitToHeight="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149"/>
  <sheetViews>
    <sheetView workbookViewId="0">
      <selection activeCell="A11" sqref="A11:H11"/>
    </sheetView>
  </sheetViews>
  <sheetFormatPr defaultColWidth="10.28515625" defaultRowHeight="12.75"/>
  <cols>
    <col min="1" max="1" width="11.28515625" bestFit="1" customWidth="1"/>
    <col min="2" max="2" width="14.85546875" bestFit="1" customWidth="1"/>
    <col min="3" max="3" width="32.85546875" bestFit="1" customWidth="1"/>
    <col min="6" max="6" width="43.42578125" bestFit="1" customWidth="1"/>
    <col min="8" max="8" width="34.5703125" bestFit="1" customWidth="1"/>
  </cols>
  <sheetData>
    <row r="1" spans="1:8" ht="14.25" thickTop="1" thickBot="1">
      <c r="A1" s="134" t="s">
        <v>866</v>
      </c>
      <c r="B1" s="135" t="s">
        <v>867</v>
      </c>
      <c r="C1" s="135" t="s">
        <v>864</v>
      </c>
    </row>
    <row r="2" spans="1:8" ht="14.25" thickTop="1" thickBot="1">
      <c r="A2" t="s">
        <v>868</v>
      </c>
      <c r="B2">
        <v>1000</v>
      </c>
      <c r="C2" t="s">
        <v>869</v>
      </c>
    </row>
    <row r="3" spans="1:8">
      <c r="A3" t="s">
        <v>870</v>
      </c>
      <c r="B3">
        <v>2001</v>
      </c>
      <c r="C3" t="s">
        <v>871</v>
      </c>
      <c r="F3" s="657" t="s">
        <v>2759</v>
      </c>
      <c r="G3" s="658" t="s">
        <v>866</v>
      </c>
      <c r="H3" s="659" t="s">
        <v>864</v>
      </c>
    </row>
    <row r="4" spans="1:8">
      <c r="A4" t="s">
        <v>872</v>
      </c>
      <c r="B4">
        <v>2002</v>
      </c>
      <c r="C4" t="s">
        <v>873</v>
      </c>
      <c r="F4" s="167" t="s">
        <v>2855</v>
      </c>
      <c r="G4" s="660" t="s">
        <v>868</v>
      </c>
      <c r="H4" s="168" t="s">
        <v>869</v>
      </c>
    </row>
    <row r="5" spans="1:8">
      <c r="A5" t="s">
        <v>874</v>
      </c>
      <c r="B5">
        <v>2003</v>
      </c>
      <c r="C5" t="s">
        <v>875</v>
      </c>
      <c r="F5" s="167" t="s">
        <v>2856</v>
      </c>
      <c r="G5" t="s">
        <v>2537</v>
      </c>
      <c r="H5" s="168" t="s">
        <v>2538</v>
      </c>
    </row>
    <row r="6" spans="1:8">
      <c r="A6" t="s">
        <v>876</v>
      </c>
      <c r="B6">
        <v>2004</v>
      </c>
      <c r="C6" t="s">
        <v>877</v>
      </c>
      <c r="F6" s="167" t="s">
        <v>2760</v>
      </c>
      <c r="G6" s="660" t="s">
        <v>2761</v>
      </c>
      <c r="H6" s="168" t="s">
        <v>2762</v>
      </c>
    </row>
    <row r="7" spans="1:8" ht="13.5" thickBot="1">
      <c r="A7" t="s">
        <v>878</v>
      </c>
      <c r="B7">
        <v>2005</v>
      </c>
      <c r="C7" t="s">
        <v>879</v>
      </c>
      <c r="F7" s="169" t="s">
        <v>3545</v>
      </c>
      <c r="G7" s="758" t="s">
        <v>3461</v>
      </c>
      <c r="H7" s="661" t="s">
        <v>3462</v>
      </c>
    </row>
    <row r="8" spans="1:8">
      <c r="A8" t="s">
        <v>3461</v>
      </c>
      <c r="B8">
        <v>2006</v>
      </c>
      <c r="C8" t="s">
        <v>3462</v>
      </c>
    </row>
    <row r="9" spans="1:8">
      <c r="A9" t="s">
        <v>3123</v>
      </c>
      <c r="B9">
        <v>2009</v>
      </c>
      <c r="C9" t="s">
        <v>3124</v>
      </c>
    </row>
    <row r="10" spans="1:8">
      <c r="A10" t="s">
        <v>880</v>
      </c>
      <c r="B10">
        <v>2010</v>
      </c>
      <c r="C10" t="s">
        <v>881</v>
      </c>
    </row>
    <row r="11" spans="1:8">
      <c r="A11" t="s">
        <v>882</v>
      </c>
      <c r="B11">
        <v>2011</v>
      </c>
      <c r="C11" t="s">
        <v>883</v>
      </c>
    </row>
    <row r="12" spans="1:8">
      <c r="A12" t="s">
        <v>884</v>
      </c>
      <c r="B12">
        <v>2012</v>
      </c>
      <c r="C12" t="s">
        <v>885</v>
      </c>
    </row>
    <row r="13" spans="1:8">
      <c r="A13" t="s">
        <v>886</v>
      </c>
      <c r="B13">
        <v>2013</v>
      </c>
      <c r="C13" t="s">
        <v>887</v>
      </c>
    </row>
    <row r="14" spans="1:8">
      <c r="A14" t="s">
        <v>3253</v>
      </c>
      <c r="B14">
        <v>2014</v>
      </c>
      <c r="C14" t="s">
        <v>3254</v>
      </c>
    </row>
    <row r="15" spans="1:8">
      <c r="A15" t="s">
        <v>2903</v>
      </c>
      <c r="B15">
        <v>2017</v>
      </c>
      <c r="C15" t="s">
        <v>2904</v>
      </c>
    </row>
    <row r="16" spans="1:8">
      <c r="A16" t="s">
        <v>2905</v>
      </c>
      <c r="B16">
        <v>2018</v>
      </c>
      <c r="C16" t="s">
        <v>2906</v>
      </c>
    </row>
    <row r="17" spans="1:3">
      <c r="A17" t="s">
        <v>2907</v>
      </c>
      <c r="B17">
        <v>2019</v>
      </c>
      <c r="C17" t="s">
        <v>2908</v>
      </c>
    </row>
    <row r="18" spans="1:3">
      <c r="A18" t="s">
        <v>888</v>
      </c>
      <c r="B18">
        <v>2020</v>
      </c>
      <c r="C18" t="s">
        <v>889</v>
      </c>
    </row>
    <row r="19" spans="1:3">
      <c r="A19" t="s">
        <v>890</v>
      </c>
      <c r="B19">
        <v>2021</v>
      </c>
      <c r="C19" t="s">
        <v>891</v>
      </c>
    </row>
    <row r="20" spans="1:3">
      <c r="A20" t="s">
        <v>892</v>
      </c>
      <c r="B20">
        <v>2022</v>
      </c>
      <c r="C20" t="s">
        <v>893</v>
      </c>
    </row>
    <row r="21" spans="1:3">
      <c r="A21" t="s">
        <v>894</v>
      </c>
      <c r="B21">
        <v>2023</v>
      </c>
      <c r="C21" t="s">
        <v>895</v>
      </c>
    </row>
    <row r="22" spans="1:3">
      <c r="A22" t="s">
        <v>896</v>
      </c>
      <c r="B22">
        <v>2024</v>
      </c>
      <c r="C22" t="s">
        <v>897</v>
      </c>
    </row>
    <row r="23" spans="1:3">
      <c r="A23" t="s">
        <v>2909</v>
      </c>
      <c r="B23">
        <v>2025</v>
      </c>
      <c r="C23" t="s">
        <v>2910</v>
      </c>
    </row>
    <row r="24" spans="1:3">
      <c r="A24" t="s">
        <v>3255</v>
      </c>
      <c r="B24">
        <v>2026</v>
      </c>
      <c r="C24" t="s">
        <v>3256</v>
      </c>
    </row>
    <row r="25" spans="1:3">
      <c r="A25" t="s">
        <v>3463</v>
      </c>
      <c r="B25">
        <v>2027</v>
      </c>
      <c r="C25" t="s">
        <v>3464</v>
      </c>
    </row>
    <row r="26" spans="1:3">
      <c r="A26" t="s">
        <v>898</v>
      </c>
      <c r="B26">
        <v>2030</v>
      </c>
      <c r="C26" t="s">
        <v>899</v>
      </c>
    </row>
    <row r="27" spans="1:3">
      <c r="A27" t="s">
        <v>900</v>
      </c>
      <c r="B27">
        <v>2031</v>
      </c>
      <c r="C27" t="s">
        <v>901</v>
      </c>
    </row>
    <row r="28" spans="1:3">
      <c r="A28" t="s">
        <v>902</v>
      </c>
      <c r="B28">
        <v>2032</v>
      </c>
      <c r="C28" t="s">
        <v>903</v>
      </c>
    </row>
    <row r="29" spans="1:3">
      <c r="A29" t="s">
        <v>904</v>
      </c>
      <c r="B29">
        <v>2033</v>
      </c>
      <c r="C29" t="s">
        <v>905</v>
      </c>
    </row>
    <row r="30" spans="1:3">
      <c r="A30" t="s">
        <v>906</v>
      </c>
      <c r="B30">
        <v>2040</v>
      </c>
      <c r="C30" t="s">
        <v>907</v>
      </c>
    </row>
    <row r="31" spans="1:3">
      <c r="A31" t="s">
        <v>908</v>
      </c>
      <c r="B31">
        <v>2041</v>
      </c>
      <c r="C31" t="s">
        <v>909</v>
      </c>
    </row>
    <row r="32" spans="1:3">
      <c r="A32" t="s">
        <v>910</v>
      </c>
      <c r="B32">
        <v>2042</v>
      </c>
      <c r="C32" t="s">
        <v>911</v>
      </c>
    </row>
    <row r="33" spans="1:3">
      <c r="A33" t="s">
        <v>912</v>
      </c>
      <c r="B33">
        <v>2043</v>
      </c>
      <c r="C33" t="s">
        <v>913</v>
      </c>
    </row>
    <row r="34" spans="1:3">
      <c r="A34" t="s">
        <v>914</v>
      </c>
      <c r="B34">
        <v>2044</v>
      </c>
      <c r="C34" t="s">
        <v>915</v>
      </c>
    </row>
    <row r="35" spans="1:3">
      <c r="A35" t="s">
        <v>916</v>
      </c>
      <c r="B35">
        <v>2050</v>
      </c>
      <c r="C35" t="s">
        <v>917</v>
      </c>
    </row>
    <row r="36" spans="1:3">
      <c r="A36" t="s">
        <v>918</v>
      </c>
      <c r="B36">
        <v>2051</v>
      </c>
      <c r="C36" t="s">
        <v>919</v>
      </c>
    </row>
    <row r="37" spans="1:3">
      <c r="A37" t="s">
        <v>920</v>
      </c>
      <c r="B37">
        <v>2052</v>
      </c>
      <c r="C37" t="s">
        <v>921</v>
      </c>
    </row>
    <row r="38" spans="1:3">
      <c r="A38" t="s">
        <v>3257</v>
      </c>
      <c r="B38">
        <v>2054</v>
      </c>
      <c r="C38" t="s">
        <v>3258</v>
      </c>
    </row>
    <row r="39" spans="1:3">
      <c r="A39" t="s">
        <v>922</v>
      </c>
      <c r="B39">
        <v>2055</v>
      </c>
      <c r="C39" t="s">
        <v>923</v>
      </c>
    </row>
    <row r="40" spans="1:3">
      <c r="A40" t="s">
        <v>924</v>
      </c>
      <c r="B40">
        <v>2060</v>
      </c>
      <c r="C40" t="s">
        <v>925</v>
      </c>
    </row>
    <row r="41" spans="1:3">
      <c r="A41" t="s">
        <v>926</v>
      </c>
      <c r="B41">
        <v>2061</v>
      </c>
      <c r="C41" t="s">
        <v>927</v>
      </c>
    </row>
    <row r="42" spans="1:3">
      <c r="A42" t="s">
        <v>928</v>
      </c>
      <c r="B42">
        <v>2062</v>
      </c>
      <c r="C42" t="s">
        <v>929</v>
      </c>
    </row>
    <row r="43" spans="1:3">
      <c r="A43" t="s">
        <v>930</v>
      </c>
      <c r="B43">
        <v>2063</v>
      </c>
      <c r="C43" t="s">
        <v>931</v>
      </c>
    </row>
    <row r="44" spans="1:3">
      <c r="A44" t="s">
        <v>2911</v>
      </c>
      <c r="B44">
        <v>2064</v>
      </c>
      <c r="C44" t="s">
        <v>2912</v>
      </c>
    </row>
    <row r="45" spans="1:3">
      <c r="A45" t="s">
        <v>932</v>
      </c>
      <c r="B45">
        <v>2070</v>
      </c>
      <c r="C45" t="s">
        <v>933</v>
      </c>
    </row>
    <row r="46" spans="1:3">
      <c r="A46" t="s">
        <v>934</v>
      </c>
      <c r="B46">
        <v>2072</v>
      </c>
      <c r="C46" t="s">
        <v>935</v>
      </c>
    </row>
    <row r="47" spans="1:3">
      <c r="A47" t="s">
        <v>2913</v>
      </c>
      <c r="B47">
        <v>2073</v>
      </c>
      <c r="C47" t="s">
        <v>2914</v>
      </c>
    </row>
    <row r="48" spans="1:3">
      <c r="A48" t="s">
        <v>3125</v>
      </c>
      <c r="B48">
        <v>2074</v>
      </c>
      <c r="C48" t="s">
        <v>3126</v>
      </c>
    </row>
    <row r="49" spans="1:3">
      <c r="A49" t="s">
        <v>936</v>
      </c>
      <c r="B49">
        <v>2080</v>
      </c>
      <c r="C49" t="s">
        <v>937</v>
      </c>
    </row>
    <row r="50" spans="1:3">
      <c r="A50" t="s">
        <v>938</v>
      </c>
      <c r="B50">
        <v>2081</v>
      </c>
      <c r="C50" t="s">
        <v>939</v>
      </c>
    </row>
    <row r="51" spans="1:3">
      <c r="A51" t="s">
        <v>940</v>
      </c>
      <c r="B51">
        <v>2083</v>
      </c>
      <c r="C51" t="s">
        <v>941</v>
      </c>
    </row>
    <row r="52" spans="1:3">
      <c r="A52" t="s">
        <v>2915</v>
      </c>
      <c r="B52">
        <v>2085</v>
      </c>
      <c r="C52" t="s">
        <v>2916</v>
      </c>
    </row>
    <row r="53" spans="1:3">
      <c r="A53" t="s">
        <v>942</v>
      </c>
      <c r="B53">
        <v>2090</v>
      </c>
      <c r="C53" t="s">
        <v>943</v>
      </c>
    </row>
    <row r="54" spans="1:3">
      <c r="A54" t="s">
        <v>3127</v>
      </c>
      <c r="B54">
        <v>2095</v>
      </c>
      <c r="C54" t="s">
        <v>3128</v>
      </c>
    </row>
    <row r="55" spans="1:3">
      <c r="A55" t="s">
        <v>2917</v>
      </c>
      <c r="B55">
        <v>2099</v>
      </c>
      <c r="C55" t="s">
        <v>2918</v>
      </c>
    </row>
    <row r="56" spans="1:3">
      <c r="A56" t="s">
        <v>944</v>
      </c>
      <c r="B56">
        <v>2100</v>
      </c>
      <c r="C56" t="s">
        <v>945</v>
      </c>
    </row>
    <row r="57" spans="1:3">
      <c r="A57" t="s">
        <v>946</v>
      </c>
      <c r="B57">
        <v>2101</v>
      </c>
      <c r="C57" t="s">
        <v>947</v>
      </c>
    </row>
    <row r="58" spans="1:3">
      <c r="A58" t="s">
        <v>948</v>
      </c>
      <c r="B58">
        <v>2102</v>
      </c>
      <c r="C58" t="s">
        <v>949</v>
      </c>
    </row>
    <row r="59" spans="1:3">
      <c r="A59" t="s">
        <v>950</v>
      </c>
      <c r="B59">
        <v>2103</v>
      </c>
      <c r="C59" t="s">
        <v>951</v>
      </c>
    </row>
    <row r="60" spans="1:3">
      <c r="A60" t="s">
        <v>952</v>
      </c>
      <c r="B60">
        <v>2104</v>
      </c>
      <c r="C60" t="s">
        <v>953</v>
      </c>
    </row>
    <row r="61" spans="1:3">
      <c r="A61" t="s">
        <v>954</v>
      </c>
      <c r="B61">
        <v>2107</v>
      </c>
      <c r="C61" t="s">
        <v>955</v>
      </c>
    </row>
    <row r="62" spans="1:3">
      <c r="A62" t="s">
        <v>956</v>
      </c>
      <c r="B62">
        <v>2108</v>
      </c>
      <c r="C62" t="s">
        <v>957</v>
      </c>
    </row>
    <row r="63" spans="1:3">
      <c r="A63" t="s">
        <v>958</v>
      </c>
      <c r="B63">
        <v>2109</v>
      </c>
      <c r="C63" t="s">
        <v>959</v>
      </c>
    </row>
    <row r="64" spans="1:3">
      <c r="A64" t="s">
        <v>960</v>
      </c>
      <c r="B64">
        <v>2110</v>
      </c>
      <c r="C64" t="s">
        <v>961</v>
      </c>
    </row>
    <row r="65" spans="1:3">
      <c r="A65" t="s">
        <v>962</v>
      </c>
      <c r="B65">
        <v>2111</v>
      </c>
      <c r="C65" t="s">
        <v>963</v>
      </c>
    </row>
    <row r="66" spans="1:3">
      <c r="A66" t="s">
        <v>964</v>
      </c>
      <c r="B66">
        <v>2113</v>
      </c>
      <c r="C66" t="s">
        <v>965</v>
      </c>
    </row>
    <row r="67" spans="1:3">
      <c r="A67" t="s">
        <v>966</v>
      </c>
      <c r="B67">
        <v>2120</v>
      </c>
      <c r="C67" t="s">
        <v>967</v>
      </c>
    </row>
    <row r="68" spans="1:3">
      <c r="A68" t="s">
        <v>2919</v>
      </c>
      <c r="B68">
        <v>2121</v>
      </c>
      <c r="C68" t="s">
        <v>2920</v>
      </c>
    </row>
    <row r="69" spans="1:3">
      <c r="A69" t="s">
        <v>968</v>
      </c>
      <c r="B69">
        <v>2122</v>
      </c>
      <c r="C69" t="s">
        <v>969</v>
      </c>
    </row>
    <row r="70" spans="1:3">
      <c r="A70" t="s">
        <v>970</v>
      </c>
      <c r="B70">
        <v>2123</v>
      </c>
      <c r="C70" t="s">
        <v>971</v>
      </c>
    </row>
    <row r="71" spans="1:3">
      <c r="A71" t="s">
        <v>972</v>
      </c>
      <c r="B71">
        <v>2124</v>
      </c>
      <c r="C71" t="s">
        <v>973</v>
      </c>
    </row>
    <row r="72" spans="1:3">
      <c r="A72" t="s">
        <v>974</v>
      </c>
      <c r="B72">
        <v>2125</v>
      </c>
      <c r="C72" t="s">
        <v>975</v>
      </c>
    </row>
    <row r="73" spans="1:3">
      <c r="A73" t="s">
        <v>976</v>
      </c>
      <c r="B73">
        <v>2127</v>
      </c>
      <c r="C73" t="s">
        <v>977</v>
      </c>
    </row>
    <row r="74" spans="1:3">
      <c r="A74" t="s">
        <v>978</v>
      </c>
      <c r="B74">
        <v>2128</v>
      </c>
      <c r="C74" t="s">
        <v>979</v>
      </c>
    </row>
    <row r="75" spans="1:3">
      <c r="A75" t="s">
        <v>980</v>
      </c>
      <c r="B75">
        <v>2129</v>
      </c>
      <c r="C75" t="s">
        <v>981</v>
      </c>
    </row>
    <row r="76" spans="1:3">
      <c r="A76" t="s">
        <v>982</v>
      </c>
      <c r="B76">
        <v>2130</v>
      </c>
      <c r="C76" t="s">
        <v>983</v>
      </c>
    </row>
    <row r="77" spans="1:3">
      <c r="A77" t="s">
        <v>984</v>
      </c>
      <c r="B77">
        <v>2131</v>
      </c>
      <c r="C77" t="s">
        <v>985</v>
      </c>
    </row>
    <row r="78" spans="1:3">
      <c r="A78" t="s">
        <v>986</v>
      </c>
      <c r="B78">
        <v>2132</v>
      </c>
      <c r="C78" t="s">
        <v>987</v>
      </c>
    </row>
    <row r="79" spans="1:3">
      <c r="A79" t="s">
        <v>988</v>
      </c>
      <c r="B79">
        <v>2133</v>
      </c>
      <c r="C79" t="s">
        <v>989</v>
      </c>
    </row>
    <row r="80" spans="1:3">
      <c r="A80" t="s">
        <v>990</v>
      </c>
      <c r="B80">
        <v>2140</v>
      </c>
      <c r="C80" t="s">
        <v>991</v>
      </c>
    </row>
    <row r="81" spans="1:3">
      <c r="A81" t="s">
        <v>992</v>
      </c>
      <c r="B81">
        <v>2141</v>
      </c>
      <c r="C81" t="s">
        <v>993</v>
      </c>
    </row>
    <row r="82" spans="1:3">
      <c r="A82" t="s">
        <v>994</v>
      </c>
      <c r="B82">
        <v>2142</v>
      </c>
      <c r="C82" t="s">
        <v>995</v>
      </c>
    </row>
    <row r="83" spans="1:3">
      <c r="A83" t="s">
        <v>996</v>
      </c>
      <c r="B83">
        <v>2143</v>
      </c>
      <c r="C83" t="s">
        <v>997</v>
      </c>
    </row>
    <row r="84" spans="1:3">
      <c r="A84" t="s">
        <v>998</v>
      </c>
      <c r="B84">
        <v>2144</v>
      </c>
      <c r="C84" t="s">
        <v>999</v>
      </c>
    </row>
    <row r="85" spans="1:3">
      <c r="A85" t="s">
        <v>1000</v>
      </c>
      <c r="B85">
        <v>2145</v>
      </c>
      <c r="C85" t="s">
        <v>1001</v>
      </c>
    </row>
    <row r="86" spans="1:3">
      <c r="A86" t="s">
        <v>1002</v>
      </c>
      <c r="B86">
        <v>2146</v>
      </c>
      <c r="C86" t="s">
        <v>1003</v>
      </c>
    </row>
    <row r="87" spans="1:3">
      <c r="A87" t="s">
        <v>1004</v>
      </c>
      <c r="B87">
        <v>2147</v>
      </c>
      <c r="C87" t="s">
        <v>1005</v>
      </c>
    </row>
    <row r="88" spans="1:3">
      <c r="A88" t="s">
        <v>1006</v>
      </c>
      <c r="B88">
        <v>2148</v>
      </c>
      <c r="C88" t="s">
        <v>1007</v>
      </c>
    </row>
    <row r="89" spans="1:3">
      <c r="A89" t="s">
        <v>1008</v>
      </c>
      <c r="B89">
        <v>2149</v>
      </c>
      <c r="C89" t="s">
        <v>1009</v>
      </c>
    </row>
    <row r="90" spans="1:3">
      <c r="A90" t="s">
        <v>1010</v>
      </c>
      <c r="B90">
        <v>2150</v>
      </c>
      <c r="C90" t="s">
        <v>1011</v>
      </c>
    </row>
    <row r="91" spans="1:3">
      <c r="A91" t="s">
        <v>1012</v>
      </c>
      <c r="B91">
        <v>2151</v>
      </c>
      <c r="C91" t="s">
        <v>1013</v>
      </c>
    </row>
    <row r="92" spans="1:3">
      <c r="A92" t="s">
        <v>1014</v>
      </c>
      <c r="B92">
        <v>2152</v>
      </c>
      <c r="C92" t="s">
        <v>1015</v>
      </c>
    </row>
    <row r="93" spans="1:3">
      <c r="A93" t="s">
        <v>1016</v>
      </c>
      <c r="B93">
        <v>2153</v>
      </c>
      <c r="C93" t="s">
        <v>1017</v>
      </c>
    </row>
    <row r="94" spans="1:3">
      <c r="A94" t="s">
        <v>1018</v>
      </c>
      <c r="B94">
        <v>2154</v>
      </c>
      <c r="C94" t="s">
        <v>1019</v>
      </c>
    </row>
    <row r="95" spans="1:3">
      <c r="A95" t="s">
        <v>1020</v>
      </c>
      <c r="B95">
        <v>2155</v>
      </c>
      <c r="C95" t="s">
        <v>1021</v>
      </c>
    </row>
    <row r="96" spans="1:3">
      <c r="A96" t="s">
        <v>1022</v>
      </c>
      <c r="B96">
        <v>2156</v>
      </c>
      <c r="C96" t="s">
        <v>1023</v>
      </c>
    </row>
    <row r="97" spans="1:3">
      <c r="A97" t="s">
        <v>1024</v>
      </c>
      <c r="B97">
        <v>2157</v>
      </c>
      <c r="C97" t="s">
        <v>1025</v>
      </c>
    </row>
    <row r="98" spans="1:3">
      <c r="A98" t="s">
        <v>1026</v>
      </c>
      <c r="B98">
        <v>2159</v>
      </c>
      <c r="C98" t="s">
        <v>1027</v>
      </c>
    </row>
    <row r="99" spans="1:3">
      <c r="A99" t="s">
        <v>1028</v>
      </c>
      <c r="B99">
        <v>2160</v>
      </c>
      <c r="C99" t="s">
        <v>1029</v>
      </c>
    </row>
    <row r="100" spans="1:3">
      <c r="A100" t="s">
        <v>1030</v>
      </c>
      <c r="B100">
        <v>2164</v>
      </c>
      <c r="C100" t="s">
        <v>1031</v>
      </c>
    </row>
    <row r="101" spans="1:3">
      <c r="A101" t="s">
        <v>1032</v>
      </c>
      <c r="B101">
        <v>2165</v>
      </c>
      <c r="C101" t="s">
        <v>1033</v>
      </c>
    </row>
    <row r="102" spans="1:3">
      <c r="A102" t="s">
        <v>1034</v>
      </c>
      <c r="B102">
        <v>2167</v>
      </c>
      <c r="C102" t="s">
        <v>1035</v>
      </c>
    </row>
    <row r="103" spans="1:3">
      <c r="A103" t="s">
        <v>1036</v>
      </c>
      <c r="B103">
        <v>2169</v>
      </c>
      <c r="C103" t="s">
        <v>1037</v>
      </c>
    </row>
    <row r="104" spans="1:3">
      <c r="A104" t="s">
        <v>1038</v>
      </c>
      <c r="B104">
        <v>2170</v>
      </c>
      <c r="C104" t="s">
        <v>1039</v>
      </c>
    </row>
    <row r="105" spans="1:3">
      <c r="A105" t="s">
        <v>1040</v>
      </c>
      <c r="B105">
        <v>2171</v>
      </c>
      <c r="C105" t="s">
        <v>1041</v>
      </c>
    </row>
    <row r="106" spans="1:3">
      <c r="A106" t="s">
        <v>1042</v>
      </c>
      <c r="B106">
        <v>2173</v>
      </c>
      <c r="C106" t="s">
        <v>1043</v>
      </c>
    </row>
    <row r="107" spans="1:3">
      <c r="A107" t="s">
        <v>1044</v>
      </c>
      <c r="B107">
        <v>2176</v>
      </c>
      <c r="C107" t="s">
        <v>1045</v>
      </c>
    </row>
    <row r="108" spans="1:3">
      <c r="A108" t="s">
        <v>1046</v>
      </c>
      <c r="B108">
        <v>2180</v>
      </c>
      <c r="C108" t="s">
        <v>1047</v>
      </c>
    </row>
    <row r="109" spans="1:3">
      <c r="A109" t="s">
        <v>1048</v>
      </c>
      <c r="B109">
        <v>2181</v>
      </c>
      <c r="C109" t="s">
        <v>1049</v>
      </c>
    </row>
    <row r="110" spans="1:3">
      <c r="A110" t="s">
        <v>1050</v>
      </c>
      <c r="B110">
        <v>2182</v>
      </c>
      <c r="C110" t="s">
        <v>1051</v>
      </c>
    </row>
    <row r="111" spans="1:3">
      <c r="A111" t="s">
        <v>1052</v>
      </c>
      <c r="B111">
        <v>2183</v>
      </c>
      <c r="C111" t="s">
        <v>1053</v>
      </c>
    </row>
    <row r="112" spans="1:3">
      <c r="A112" t="s">
        <v>1054</v>
      </c>
      <c r="B112">
        <v>2187</v>
      </c>
      <c r="C112" t="s">
        <v>1035</v>
      </c>
    </row>
    <row r="113" spans="1:3">
      <c r="A113" t="s">
        <v>1055</v>
      </c>
      <c r="B113">
        <v>2188</v>
      </c>
      <c r="C113" t="s">
        <v>1056</v>
      </c>
    </row>
    <row r="114" spans="1:3">
      <c r="A114" t="s">
        <v>2580</v>
      </c>
      <c r="B114">
        <v>2189</v>
      </c>
      <c r="C114" t="s">
        <v>2581</v>
      </c>
    </row>
    <row r="115" spans="1:3">
      <c r="A115" t="s">
        <v>1057</v>
      </c>
      <c r="B115">
        <v>2190</v>
      </c>
      <c r="C115" t="s">
        <v>1058</v>
      </c>
    </row>
    <row r="116" spans="1:3">
      <c r="A116" t="s">
        <v>1059</v>
      </c>
      <c r="B116">
        <v>2192</v>
      </c>
      <c r="C116" t="s">
        <v>1060</v>
      </c>
    </row>
    <row r="117" spans="1:3">
      <c r="A117" t="s">
        <v>1061</v>
      </c>
      <c r="B117">
        <v>2194</v>
      </c>
      <c r="C117" t="s">
        <v>1062</v>
      </c>
    </row>
    <row r="118" spans="1:3">
      <c r="A118" t="s">
        <v>1063</v>
      </c>
      <c r="B118">
        <v>2195</v>
      </c>
      <c r="C118" t="s">
        <v>1064</v>
      </c>
    </row>
    <row r="119" spans="1:3">
      <c r="A119" t="s">
        <v>1065</v>
      </c>
      <c r="B119">
        <v>2197</v>
      </c>
      <c r="C119" t="s">
        <v>1066</v>
      </c>
    </row>
    <row r="120" spans="1:3">
      <c r="A120" t="s">
        <v>1067</v>
      </c>
      <c r="B120">
        <v>2199</v>
      </c>
      <c r="C120" t="s">
        <v>1068</v>
      </c>
    </row>
    <row r="121" spans="1:3">
      <c r="A121" t="s">
        <v>1069</v>
      </c>
      <c r="B121">
        <v>2200</v>
      </c>
      <c r="C121" t="s">
        <v>1070</v>
      </c>
    </row>
    <row r="122" spans="1:3">
      <c r="A122" t="s">
        <v>1071</v>
      </c>
      <c r="B122">
        <v>2201</v>
      </c>
      <c r="C122" t="s">
        <v>1072</v>
      </c>
    </row>
    <row r="123" spans="1:3">
      <c r="A123" t="s">
        <v>1073</v>
      </c>
      <c r="B123">
        <v>2202</v>
      </c>
      <c r="C123" t="s">
        <v>1074</v>
      </c>
    </row>
    <row r="124" spans="1:3">
      <c r="A124" t="s">
        <v>1075</v>
      </c>
      <c r="B124">
        <v>2203</v>
      </c>
      <c r="C124" t="s">
        <v>1076</v>
      </c>
    </row>
    <row r="125" spans="1:3">
      <c r="A125" t="s">
        <v>1077</v>
      </c>
      <c r="B125">
        <v>2204</v>
      </c>
      <c r="C125" t="s">
        <v>1078</v>
      </c>
    </row>
    <row r="126" spans="1:3">
      <c r="A126" t="s">
        <v>1079</v>
      </c>
      <c r="B126">
        <v>2205</v>
      </c>
      <c r="C126" t="s">
        <v>1080</v>
      </c>
    </row>
    <row r="127" spans="1:3">
      <c r="A127" t="s">
        <v>1081</v>
      </c>
      <c r="B127">
        <v>2206</v>
      </c>
      <c r="C127" t="s">
        <v>1082</v>
      </c>
    </row>
    <row r="128" spans="1:3">
      <c r="A128" t="s">
        <v>1083</v>
      </c>
      <c r="B128">
        <v>2207</v>
      </c>
      <c r="C128" t="s">
        <v>1084</v>
      </c>
    </row>
    <row r="129" spans="1:3">
      <c r="A129" t="s">
        <v>1085</v>
      </c>
      <c r="B129">
        <v>2210</v>
      </c>
      <c r="C129" t="s">
        <v>1086</v>
      </c>
    </row>
    <row r="130" spans="1:3">
      <c r="A130" t="s">
        <v>1087</v>
      </c>
      <c r="B130">
        <v>2211</v>
      </c>
      <c r="C130" t="s">
        <v>1088</v>
      </c>
    </row>
    <row r="131" spans="1:3">
      <c r="A131" t="s">
        <v>1089</v>
      </c>
      <c r="B131">
        <v>2215</v>
      </c>
      <c r="C131" t="s">
        <v>1090</v>
      </c>
    </row>
    <row r="132" spans="1:3">
      <c r="A132" t="s">
        <v>1091</v>
      </c>
      <c r="B132">
        <v>2218</v>
      </c>
      <c r="C132" t="s">
        <v>1092</v>
      </c>
    </row>
    <row r="133" spans="1:3">
      <c r="A133" t="s">
        <v>2921</v>
      </c>
      <c r="B133">
        <v>2220</v>
      </c>
      <c r="C133" t="s">
        <v>2922</v>
      </c>
    </row>
    <row r="134" spans="1:3">
      <c r="A134" t="s">
        <v>1093</v>
      </c>
      <c r="B134">
        <v>2222</v>
      </c>
      <c r="C134" t="s">
        <v>1094</v>
      </c>
    </row>
    <row r="135" spans="1:3">
      <c r="A135" t="s">
        <v>1095</v>
      </c>
      <c r="B135">
        <v>2230</v>
      </c>
      <c r="C135" t="s">
        <v>1096</v>
      </c>
    </row>
    <row r="136" spans="1:3">
      <c r="A136" t="s">
        <v>1097</v>
      </c>
      <c r="B136">
        <v>2231</v>
      </c>
      <c r="C136" t="s">
        <v>1098</v>
      </c>
    </row>
    <row r="137" spans="1:3">
      <c r="A137" t="s">
        <v>1099</v>
      </c>
      <c r="B137">
        <v>2233</v>
      </c>
      <c r="C137" t="s">
        <v>1100</v>
      </c>
    </row>
    <row r="138" spans="1:3">
      <c r="A138" t="s">
        <v>1101</v>
      </c>
      <c r="B138">
        <v>2235</v>
      </c>
      <c r="C138" t="s">
        <v>1102</v>
      </c>
    </row>
    <row r="139" spans="1:3">
      <c r="A139" t="s">
        <v>1103</v>
      </c>
      <c r="B139">
        <v>2238</v>
      </c>
      <c r="C139" t="s">
        <v>1104</v>
      </c>
    </row>
    <row r="140" spans="1:3">
      <c r="A140" t="s">
        <v>1105</v>
      </c>
      <c r="B140">
        <v>2239</v>
      </c>
      <c r="C140" t="s">
        <v>1106</v>
      </c>
    </row>
    <row r="141" spans="1:3">
      <c r="A141" t="s">
        <v>1107</v>
      </c>
      <c r="B141">
        <v>2240</v>
      </c>
      <c r="C141" t="s">
        <v>1108</v>
      </c>
    </row>
    <row r="142" spans="1:3">
      <c r="A142" t="s">
        <v>1109</v>
      </c>
      <c r="B142">
        <v>2245</v>
      </c>
      <c r="C142" t="s">
        <v>1110</v>
      </c>
    </row>
    <row r="143" spans="1:3">
      <c r="A143" t="s">
        <v>1111</v>
      </c>
      <c r="B143">
        <v>2250</v>
      </c>
      <c r="C143" t="s">
        <v>1112</v>
      </c>
    </row>
    <row r="144" spans="1:3">
      <c r="A144" t="s">
        <v>1113</v>
      </c>
      <c r="B144">
        <v>2251</v>
      </c>
      <c r="C144" t="s">
        <v>1114</v>
      </c>
    </row>
    <row r="145" spans="1:3">
      <c r="A145" t="s">
        <v>1115</v>
      </c>
      <c r="B145">
        <v>2260</v>
      </c>
      <c r="C145" t="s">
        <v>1116</v>
      </c>
    </row>
    <row r="146" spans="1:3">
      <c r="A146" t="s">
        <v>1117</v>
      </c>
      <c r="B146">
        <v>2261</v>
      </c>
      <c r="C146" t="s">
        <v>1118</v>
      </c>
    </row>
    <row r="147" spans="1:3">
      <c r="A147" t="s">
        <v>1119</v>
      </c>
      <c r="B147">
        <v>2262</v>
      </c>
      <c r="C147" t="s">
        <v>1120</v>
      </c>
    </row>
    <row r="148" spans="1:3">
      <c r="A148" t="s">
        <v>1121</v>
      </c>
      <c r="B148">
        <v>2263</v>
      </c>
      <c r="C148" t="s">
        <v>1122</v>
      </c>
    </row>
    <row r="149" spans="1:3">
      <c r="A149" t="s">
        <v>1123</v>
      </c>
      <c r="B149">
        <v>2264</v>
      </c>
      <c r="C149" t="s">
        <v>1124</v>
      </c>
    </row>
    <row r="150" spans="1:3">
      <c r="A150" t="s">
        <v>1125</v>
      </c>
      <c r="B150">
        <v>2270</v>
      </c>
      <c r="C150" t="s">
        <v>1126</v>
      </c>
    </row>
    <row r="151" spans="1:3">
      <c r="A151" t="s">
        <v>1127</v>
      </c>
      <c r="B151">
        <v>2271</v>
      </c>
      <c r="C151" t="s">
        <v>1128</v>
      </c>
    </row>
    <row r="152" spans="1:3">
      <c r="A152" t="s">
        <v>1129</v>
      </c>
      <c r="B152">
        <v>2280</v>
      </c>
      <c r="C152" t="s">
        <v>1130</v>
      </c>
    </row>
    <row r="153" spans="1:3">
      <c r="A153" t="s">
        <v>1131</v>
      </c>
      <c r="B153">
        <v>2281</v>
      </c>
      <c r="C153" t="s">
        <v>1132</v>
      </c>
    </row>
    <row r="154" spans="1:3">
      <c r="A154" t="s">
        <v>1133</v>
      </c>
      <c r="B154">
        <v>2282</v>
      </c>
      <c r="C154" t="s">
        <v>1134</v>
      </c>
    </row>
    <row r="155" spans="1:3">
      <c r="A155" t="s">
        <v>1135</v>
      </c>
      <c r="B155">
        <v>2290</v>
      </c>
      <c r="C155" t="s">
        <v>1136</v>
      </c>
    </row>
    <row r="156" spans="1:3">
      <c r="A156" t="s">
        <v>1137</v>
      </c>
      <c r="B156">
        <v>2300</v>
      </c>
      <c r="C156" t="s">
        <v>1138</v>
      </c>
    </row>
    <row r="157" spans="1:3">
      <c r="A157" t="s">
        <v>1139</v>
      </c>
      <c r="B157">
        <v>2301</v>
      </c>
      <c r="C157" t="s">
        <v>1140</v>
      </c>
    </row>
    <row r="158" spans="1:3">
      <c r="A158" t="s">
        <v>1141</v>
      </c>
      <c r="B158">
        <v>2310</v>
      </c>
      <c r="C158" t="s">
        <v>1142</v>
      </c>
    </row>
    <row r="159" spans="1:3">
      <c r="A159" t="s">
        <v>1143</v>
      </c>
      <c r="B159">
        <v>2312</v>
      </c>
      <c r="C159" t="s">
        <v>1144</v>
      </c>
    </row>
    <row r="160" spans="1:3">
      <c r="A160" t="s">
        <v>1145</v>
      </c>
      <c r="B160">
        <v>2313</v>
      </c>
      <c r="C160" t="s">
        <v>1146</v>
      </c>
    </row>
    <row r="161" spans="1:3">
      <c r="A161" t="s">
        <v>1147</v>
      </c>
      <c r="B161">
        <v>2314</v>
      </c>
      <c r="C161" t="s">
        <v>1148</v>
      </c>
    </row>
    <row r="162" spans="1:3">
      <c r="A162" t="s">
        <v>1149</v>
      </c>
      <c r="B162">
        <v>2315</v>
      </c>
      <c r="C162" t="s">
        <v>1150</v>
      </c>
    </row>
    <row r="163" spans="1:3">
      <c r="A163" t="s">
        <v>1151</v>
      </c>
      <c r="B163">
        <v>2320</v>
      </c>
      <c r="C163" t="s">
        <v>1152</v>
      </c>
    </row>
    <row r="164" spans="1:3">
      <c r="A164" t="s">
        <v>1153</v>
      </c>
      <c r="B164">
        <v>2321</v>
      </c>
      <c r="C164" t="s">
        <v>1154</v>
      </c>
    </row>
    <row r="165" spans="1:3">
      <c r="A165" t="s">
        <v>1155</v>
      </c>
      <c r="B165">
        <v>2322</v>
      </c>
      <c r="C165" t="s">
        <v>1156</v>
      </c>
    </row>
    <row r="166" spans="1:3">
      <c r="A166" t="s">
        <v>1157</v>
      </c>
      <c r="B166">
        <v>2330</v>
      </c>
      <c r="C166" t="s">
        <v>1158</v>
      </c>
    </row>
    <row r="167" spans="1:3">
      <c r="A167" t="s">
        <v>1159</v>
      </c>
      <c r="B167">
        <v>2331</v>
      </c>
      <c r="C167" t="s">
        <v>1160</v>
      </c>
    </row>
    <row r="168" spans="1:3">
      <c r="A168" t="s">
        <v>1161</v>
      </c>
      <c r="B168">
        <v>2340</v>
      </c>
      <c r="C168" t="s">
        <v>1162</v>
      </c>
    </row>
    <row r="169" spans="1:3">
      <c r="A169" t="s">
        <v>1163</v>
      </c>
      <c r="B169">
        <v>2350</v>
      </c>
      <c r="C169" t="s">
        <v>1164</v>
      </c>
    </row>
    <row r="170" spans="1:3">
      <c r="A170" t="s">
        <v>1165</v>
      </c>
      <c r="B170">
        <v>2351</v>
      </c>
      <c r="C170" t="s">
        <v>1166</v>
      </c>
    </row>
    <row r="171" spans="1:3">
      <c r="A171" t="s">
        <v>1167</v>
      </c>
      <c r="B171">
        <v>2352</v>
      </c>
      <c r="C171" t="s">
        <v>1168</v>
      </c>
    </row>
    <row r="172" spans="1:3">
      <c r="A172" t="s">
        <v>1169</v>
      </c>
      <c r="B172">
        <v>2353</v>
      </c>
      <c r="C172" t="s">
        <v>1170</v>
      </c>
    </row>
    <row r="173" spans="1:3">
      <c r="A173" t="s">
        <v>1171</v>
      </c>
      <c r="B173">
        <v>2354</v>
      </c>
      <c r="C173" t="s">
        <v>1172</v>
      </c>
    </row>
    <row r="174" spans="1:3">
      <c r="A174" t="s">
        <v>2923</v>
      </c>
      <c r="B174">
        <v>2355</v>
      </c>
      <c r="C174" t="s">
        <v>2924</v>
      </c>
    </row>
    <row r="175" spans="1:3">
      <c r="A175" t="s">
        <v>1173</v>
      </c>
      <c r="B175">
        <v>2360</v>
      </c>
      <c r="C175" t="s">
        <v>1174</v>
      </c>
    </row>
    <row r="176" spans="1:3">
      <c r="A176" t="s">
        <v>1175</v>
      </c>
      <c r="B176">
        <v>2370</v>
      </c>
      <c r="C176" t="s">
        <v>1176</v>
      </c>
    </row>
    <row r="177" spans="1:3">
      <c r="A177" t="s">
        <v>1177</v>
      </c>
      <c r="B177">
        <v>2371</v>
      </c>
      <c r="C177" t="s">
        <v>1178</v>
      </c>
    </row>
    <row r="178" spans="1:3">
      <c r="A178" t="s">
        <v>2925</v>
      </c>
      <c r="B178">
        <v>2380</v>
      </c>
      <c r="C178" t="s">
        <v>2926</v>
      </c>
    </row>
    <row r="179" spans="1:3">
      <c r="A179" t="s">
        <v>1179</v>
      </c>
      <c r="B179">
        <v>2390</v>
      </c>
      <c r="C179" t="s">
        <v>1180</v>
      </c>
    </row>
    <row r="180" spans="1:3">
      <c r="A180" t="s">
        <v>1181</v>
      </c>
      <c r="B180">
        <v>2395</v>
      </c>
      <c r="C180" t="s">
        <v>1182</v>
      </c>
    </row>
    <row r="181" spans="1:3">
      <c r="A181" t="s">
        <v>1183</v>
      </c>
      <c r="B181">
        <v>2400</v>
      </c>
      <c r="C181" t="s">
        <v>1184</v>
      </c>
    </row>
    <row r="182" spans="1:3">
      <c r="A182" t="s">
        <v>1185</v>
      </c>
      <c r="B182">
        <v>2402</v>
      </c>
      <c r="C182" t="s">
        <v>1186</v>
      </c>
    </row>
    <row r="183" spans="1:3">
      <c r="A183" t="s">
        <v>1187</v>
      </c>
      <c r="B183">
        <v>2403</v>
      </c>
      <c r="C183" t="s">
        <v>1188</v>
      </c>
    </row>
    <row r="184" spans="1:3">
      <c r="A184" t="s">
        <v>1189</v>
      </c>
      <c r="B184">
        <v>2405</v>
      </c>
      <c r="C184" t="s">
        <v>1190</v>
      </c>
    </row>
    <row r="185" spans="1:3">
      <c r="A185" t="s">
        <v>1191</v>
      </c>
      <c r="B185">
        <v>2407</v>
      </c>
      <c r="C185" t="s">
        <v>1192</v>
      </c>
    </row>
    <row r="186" spans="1:3">
      <c r="A186" t="s">
        <v>1193</v>
      </c>
      <c r="B186">
        <v>2409</v>
      </c>
      <c r="C186" t="s">
        <v>1194</v>
      </c>
    </row>
    <row r="187" spans="1:3">
      <c r="A187" t="s">
        <v>1195</v>
      </c>
      <c r="B187">
        <v>2410</v>
      </c>
      <c r="C187" t="s">
        <v>1196</v>
      </c>
    </row>
    <row r="188" spans="1:3">
      <c r="A188" t="s">
        <v>1197</v>
      </c>
      <c r="B188">
        <v>2411</v>
      </c>
      <c r="C188" t="s">
        <v>1198</v>
      </c>
    </row>
    <row r="189" spans="1:3">
      <c r="A189" t="s">
        <v>1199</v>
      </c>
      <c r="B189">
        <v>2413</v>
      </c>
      <c r="C189" t="s">
        <v>1200</v>
      </c>
    </row>
    <row r="190" spans="1:3">
      <c r="A190" t="s">
        <v>1201</v>
      </c>
      <c r="B190">
        <v>2417</v>
      </c>
      <c r="C190" t="s">
        <v>1202</v>
      </c>
    </row>
    <row r="191" spans="1:3">
      <c r="A191" t="s">
        <v>1203</v>
      </c>
      <c r="B191">
        <v>2420</v>
      </c>
      <c r="C191" t="s">
        <v>1204</v>
      </c>
    </row>
    <row r="192" spans="1:3">
      <c r="A192" t="s">
        <v>1205</v>
      </c>
      <c r="B192">
        <v>2421</v>
      </c>
      <c r="C192" t="s">
        <v>1206</v>
      </c>
    </row>
    <row r="193" spans="1:3">
      <c r="A193" t="s">
        <v>1207</v>
      </c>
      <c r="B193">
        <v>2423</v>
      </c>
      <c r="C193" t="s">
        <v>1208</v>
      </c>
    </row>
    <row r="194" spans="1:3">
      <c r="A194" t="s">
        <v>1209</v>
      </c>
      <c r="B194">
        <v>2425</v>
      </c>
      <c r="C194" t="s">
        <v>1210</v>
      </c>
    </row>
    <row r="195" spans="1:3">
      <c r="A195" t="s">
        <v>1211</v>
      </c>
      <c r="B195">
        <v>2430</v>
      </c>
      <c r="C195" t="s">
        <v>1212</v>
      </c>
    </row>
    <row r="196" spans="1:3">
      <c r="A196" t="s">
        <v>1213</v>
      </c>
      <c r="B196">
        <v>2440</v>
      </c>
      <c r="C196" t="s">
        <v>1214</v>
      </c>
    </row>
    <row r="197" spans="1:3">
      <c r="A197" t="s">
        <v>1215</v>
      </c>
      <c r="B197">
        <v>2441</v>
      </c>
      <c r="C197" t="s">
        <v>1216</v>
      </c>
    </row>
    <row r="198" spans="1:3">
      <c r="A198" t="s">
        <v>1217</v>
      </c>
      <c r="B198">
        <v>2442</v>
      </c>
      <c r="C198" t="s">
        <v>1218</v>
      </c>
    </row>
    <row r="199" spans="1:3">
      <c r="A199" t="s">
        <v>2582</v>
      </c>
      <c r="B199">
        <v>2448</v>
      </c>
      <c r="C199" t="s">
        <v>2583</v>
      </c>
    </row>
    <row r="200" spans="1:3">
      <c r="A200" t="s">
        <v>1219</v>
      </c>
      <c r="B200">
        <v>2450</v>
      </c>
      <c r="C200" t="s">
        <v>1220</v>
      </c>
    </row>
    <row r="201" spans="1:3">
      <c r="A201" t="s">
        <v>1221</v>
      </c>
      <c r="B201">
        <v>2451</v>
      </c>
      <c r="C201" t="s">
        <v>1222</v>
      </c>
    </row>
    <row r="202" spans="1:3">
      <c r="A202" t="s">
        <v>1223</v>
      </c>
      <c r="B202">
        <v>2452</v>
      </c>
      <c r="C202" t="s">
        <v>1224</v>
      </c>
    </row>
    <row r="203" spans="1:3">
      <c r="A203" t="s">
        <v>2724</v>
      </c>
      <c r="B203">
        <v>2454</v>
      </c>
      <c r="C203" t="s">
        <v>2725</v>
      </c>
    </row>
    <row r="204" spans="1:3">
      <c r="A204" t="s">
        <v>1225</v>
      </c>
      <c r="B204">
        <v>2455</v>
      </c>
      <c r="C204" t="s">
        <v>1226</v>
      </c>
    </row>
    <row r="205" spans="1:3">
      <c r="A205" t="s">
        <v>1227</v>
      </c>
      <c r="B205">
        <v>2460</v>
      </c>
      <c r="C205" t="s">
        <v>1228</v>
      </c>
    </row>
    <row r="206" spans="1:3">
      <c r="A206" t="s">
        <v>1229</v>
      </c>
      <c r="B206">
        <v>2470</v>
      </c>
      <c r="C206" t="s">
        <v>1230</v>
      </c>
    </row>
    <row r="207" spans="1:3">
      <c r="A207" t="s">
        <v>1231</v>
      </c>
      <c r="B207">
        <v>2480</v>
      </c>
      <c r="C207" t="s">
        <v>1232</v>
      </c>
    </row>
    <row r="208" spans="1:3">
      <c r="A208" t="s">
        <v>1233</v>
      </c>
      <c r="B208">
        <v>2490</v>
      </c>
      <c r="C208" t="s">
        <v>1234</v>
      </c>
    </row>
    <row r="209" spans="1:3">
      <c r="A209" t="s">
        <v>1235</v>
      </c>
      <c r="B209">
        <v>2500</v>
      </c>
      <c r="C209" t="s">
        <v>1236</v>
      </c>
    </row>
    <row r="210" spans="1:3">
      <c r="A210" t="s">
        <v>1237</v>
      </c>
      <c r="B210">
        <v>2504</v>
      </c>
      <c r="C210" t="s">
        <v>1238</v>
      </c>
    </row>
    <row r="211" spans="1:3">
      <c r="A211" t="s">
        <v>1239</v>
      </c>
      <c r="B211">
        <v>2505</v>
      </c>
      <c r="C211" t="s">
        <v>1240</v>
      </c>
    </row>
    <row r="212" spans="1:3">
      <c r="A212" t="s">
        <v>3259</v>
      </c>
      <c r="B212">
        <v>2506</v>
      </c>
      <c r="C212" t="s">
        <v>3260</v>
      </c>
    </row>
    <row r="213" spans="1:3">
      <c r="A213" t="s">
        <v>1241</v>
      </c>
      <c r="B213">
        <v>2507</v>
      </c>
      <c r="C213" t="s">
        <v>1242</v>
      </c>
    </row>
    <row r="214" spans="1:3">
      <c r="A214" t="s">
        <v>1243</v>
      </c>
      <c r="B214">
        <v>2510</v>
      </c>
      <c r="C214" t="s">
        <v>1244</v>
      </c>
    </row>
    <row r="215" spans="1:3">
      <c r="A215" t="s">
        <v>1245</v>
      </c>
      <c r="B215">
        <v>2515</v>
      </c>
      <c r="C215" t="s">
        <v>1246</v>
      </c>
    </row>
    <row r="216" spans="1:3">
      <c r="A216" t="s">
        <v>1247</v>
      </c>
      <c r="B216">
        <v>2520</v>
      </c>
      <c r="C216" t="s">
        <v>1248</v>
      </c>
    </row>
    <row r="217" spans="1:3">
      <c r="A217" t="s">
        <v>1249</v>
      </c>
      <c r="B217">
        <v>2530</v>
      </c>
      <c r="C217" t="s">
        <v>1250</v>
      </c>
    </row>
    <row r="218" spans="1:3">
      <c r="A218" t="s">
        <v>1251</v>
      </c>
      <c r="B218">
        <v>2540</v>
      </c>
      <c r="C218" t="s">
        <v>1252</v>
      </c>
    </row>
    <row r="219" spans="1:3">
      <c r="A219" t="s">
        <v>3261</v>
      </c>
      <c r="B219">
        <v>2541</v>
      </c>
      <c r="C219" t="s">
        <v>2071</v>
      </c>
    </row>
    <row r="220" spans="1:3">
      <c r="A220" t="s">
        <v>1253</v>
      </c>
      <c r="B220">
        <v>2550</v>
      </c>
      <c r="C220" t="s">
        <v>1254</v>
      </c>
    </row>
    <row r="221" spans="1:3">
      <c r="A221" t="s">
        <v>2857</v>
      </c>
      <c r="B221">
        <v>2560</v>
      </c>
      <c r="C221" t="s">
        <v>2858</v>
      </c>
    </row>
    <row r="222" spans="1:3">
      <c r="A222" t="s">
        <v>1255</v>
      </c>
      <c r="B222">
        <v>2570</v>
      </c>
      <c r="C222" t="s">
        <v>1256</v>
      </c>
    </row>
    <row r="223" spans="1:3">
      <c r="A223" t="s">
        <v>1257</v>
      </c>
      <c r="B223">
        <v>2580</v>
      </c>
      <c r="C223" t="s">
        <v>1258</v>
      </c>
    </row>
    <row r="224" spans="1:3">
      <c r="A224" t="s">
        <v>1259</v>
      </c>
      <c r="B224">
        <v>2590</v>
      </c>
      <c r="C224" t="s">
        <v>1260</v>
      </c>
    </row>
    <row r="225" spans="1:3">
      <c r="A225" t="s">
        <v>1261</v>
      </c>
      <c r="B225">
        <v>2600</v>
      </c>
      <c r="C225" t="s">
        <v>1262</v>
      </c>
    </row>
    <row r="226" spans="1:3">
      <c r="A226" t="s">
        <v>1263</v>
      </c>
      <c r="B226">
        <v>2601</v>
      </c>
      <c r="C226" t="s">
        <v>1264</v>
      </c>
    </row>
    <row r="227" spans="1:3">
      <c r="A227" t="s">
        <v>1265</v>
      </c>
      <c r="B227">
        <v>2602</v>
      </c>
      <c r="C227" t="s">
        <v>1266</v>
      </c>
    </row>
    <row r="228" spans="1:3">
      <c r="A228" t="s">
        <v>1267</v>
      </c>
      <c r="B228">
        <v>2610</v>
      </c>
      <c r="C228" t="s">
        <v>1268</v>
      </c>
    </row>
    <row r="229" spans="1:3">
      <c r="A229" t="s">
        <v>1269</v>
      </c>
      <c r="B229">
        <v>2615</v>
      </c>
      <c r="C229" t="s">
        <v>1270</v>
      </c>
    </row>
    <row r="230" spans="1:3">
      <c r="A230" t="s">
        <v>1271</v>
      </c>
      <c r="B230">
        <v>2620</v>
      </c>
      <c r="C230" t="s">
        <v>1272</v>
      </c>
    </row>
    <row r="231" spans="1:3">
      <c r="A231" t="s">
        <v>1273</v>
      </c>
      <c r="B231">
        <v>2630</v>
      </c>
      <c r="C231" t="s">
        <v>1274</v>
      </c>
    </row>
    <row r="232" spans="1:3">
      <c r="A232" t="s">
        <v>1275</v>
      </c>
      <c r="B232">
        <v>2640</v>
      </c>
      <c r="C232" t="s">
        <v>1276</v>
      </c>
    </row>
    <row r="233" spans="1:3">
      <c r="A233" t="s">
        <v>1277</v>
      </c>
      <c r="B233">
        <v>2650</v>
      </c>
      <c r="C233" t="s">
        <v>1278</v>
      </c>
    </row>
    <row r="234" spans="1:3">
      <c r="A234" t="s">
        <v>1279</v>
      </c>
      <c r="B234">
        <v>2651</v>
      </c>
      <c r="C234" t="s">
        <v>1280</v>
      </c>
    </row>
    <row r="235" spans="1:3">
      <c r="A235" t="s">
        <v>1281</v>
      </c>
      <c r="B235">
        <v>2660</v>
      </c>
      <c r="C235" t="s">
        <v>1282</v>
      </c>
    </row>
    <row r="236" spans="1:3">
      <c r="A236" t="s">
        <v>1283</v>
      </c>
      <c r="B236">
        <v>2661</v>
      </c>
      <c r="C236" t="s">
        <v>1284</v>
      </c>
    </row>
    <row r="237" spans="1:3">
      <c r="A237" t="s">
        <v>3465</v>
      </c>
      <c r="B237">
        <v>2662</v>
      </c>
      <c r="C237" t="s">
        <v>3466</v>
      </c>
    </row>
    <row r="238" spans="1:3">
      <c r="A238" t="s">
        <v>1285</v>
      </c>
      <c r="B238">
        <v>2670</v>
      </c>
      <c r="C238" t="s">
        <v>1286</v>
      </c>
    </row>
    <row r="239" spans="1:3">
      <c r="A239" t="s">
        <v>1287</v>
      </c>
      <c r="B239">
        <v>2671</v>
      </c>
      <c r="C239" t="s">
        <v>1288</v>
      </c>
    </row>
    <row r="240" spans="1:3">
      <c r="A240" t="s">
        <v>1289</v>
      </c>
      <c r="B240">
        <v>2680</v>
      </c>
      <c r="C240" t="s">
        <v>1290</v>
      </c>
    </row>
    <row r="241" spans="1:3">
      <c r="A241" t="s">
        <v>1291</v>
      </c>
      <c r="B241">
        <v>2685</v>
      </c>
      <c r="C241" t="s">
        <v>1292</v>
      </c>
    </row>
    <row r="242" spans="1:3">
      <c r="A242" t="s">
        <v>1293</v>
      </c>
      <c r="B242">
        <v>2687</v>
      </c>
      <c r="C242" t="s">
        <v>1294</v>
      </c>
    </row>
    <row r="243" spans="1:3">
      <c r="A243" t="s">
        <v>1295</v>
      </c>
      <c r="B243">
        <v>2690</v>
      </c>
      <c r="C243" t="s">
        <v>1296</v>
      </c>
    </row>
    <row r="244" spans="1:3">
      <c r="A244" t="s">
        <v>1297</v>
      </c>
      <c r="B244">
        <v>2700</v>
      </c>
      <c r="C244" t="s">
        <v>1298</v>
      </c>
    </row>
    <row r="245" spans="1:3">
      <c r="A245" t="s">
        <v>1299</v>
      </c>
      <c r="B245">
        <v>2701</v>
      </c>
      <c r="C245" t="s">
        <v>1300</v>
      </c>
    </row>
    <row r="246" spans="1:3">
      <c r="A246" t="s">
        <v>1301</v>
      </c>
      <c r="B246">
        <v>2702</v>
      </c>
      <c r="C246" t="s">
        <v>1302</v>
      </c>
    </row>
    <row r="247" spans="1:3">
      <c r="A247" t="s">
        <v>1303</v>
      </c>
      <c r="B247">
        <v>2703</v>
      </c>
      <c r="C247" t="s">
        <v>1304</v>
      </c>
    </row>
    <row r="248" spans="1:3">
      <c r="A248" t="s">
        <v>1305</v>
      </c>
      <c r="B248">
        <v>2704</v>
      </c>
      <c r="C248" t="s">
        <v>1306</v>
      </c>
    </row>
    <row r="249" spans="1:3">
      <c r="A249" t="s">
        <v>1307</v>
      </c>
      <c r="B249">
        <v>2710</v>
      </c>
      <c r="C249" t="s">
        <v>1308</v>
      </c>
    </row>
    <row r="250" spans="1:3">
      <c r="A250" t="s">
        <v>1309</v>
      </c>
      <c r="B250">
        <v>2711</v>
      </c>
      <c r="C250" t="s">
        <v>1310</v>
      </c>
    </row>
    <row r="251" spans="1:3">
      <c r="A251" t="s">
        <v>1311</v>
      </c>
      <c r="B251">
        <v>2713</v>
      </c>
      <c r="C251" t="s">
        <v>1312</v>
      </c>
    </row>
    <row r="252" spans="1:3">
      <c r="A252" t="s">
        <v>1313</v>
      </c>
      <c r="B252">
        <v>2720</v>
      </c>
      <c r="C252" t="s">
        <v>1314</v>
      </c>
    </row>
    <row r="253" spans="1:3">
      <c r="A253" t="s">
        <v>1315</v>
      </c>
      <c r="B253">
        <v>2730</v>
      </c>
      <c r="C253" t="s">
        <v>1316</v>
      </c>
    </row>
    <row r="254" spans="1:3">
      <c r="A254" t="s">
        <v>2726</v>
      </c>
      <c r="B254">
        <v>2743</v>
      </c>
      <c r="C254" t="s">
        <v>2727</v>
      </c>
    </row>
    <row r="255" spans="1:3">
      <c r="A255" t="s">
        <v>1317</v>
      </c>
      <c r="B255">
        <v>2750</v>
      </c>
      <c r="C255" t="s">
        <v>1318</v>
      </c>
    </row>
    <row r="256" spans="1:3">
      <c r="A256" t="s">
        <v>1319</v>
      </c>
      <c r="B256">
        <v>2751</v>
      </c>
      <c r="C256" t="s">
        <v>1320</v>
      </c>
    </row>
    <row r="257" spans="1:3">
      <c r="A257" t="s">
        <v>1321</v>
      </c>
      <c r="B257">
        <v>2753</v>
      </c>
      <c r="C257" t="s">
        <v>1322</v>
      </c>
    </row>
    <row r="258" spans="1:3">
      <c r="A258" t="s">
        <v>1323</v>
      </c>
      <c r="B258">
        <v>2754</v>
      </c>
      <c r="C258" t="s">
        <v>1324</v>
      </c>
    </row>
    <row r="259" spans="1:3">
      <c r="A259" t="s">
        <v>1325</v>
      </c>
      <c r="B259">
        <v>2756</v>
      </c>
      <c r="C259" t="s">
        <v>1326</v>
      </c>
    </row>
    <row r="260" spans="1:3">
      <c r="A260" t="s">
        <v>1327</v>
      </c>
      <c r="B260">
        <v>2765</v>
      </c>
      <c r="C260" t="s">
        <v>1328</v>
      </c>
    </row>
    <row r="261" spans="1:3">
      <c r="A261" t="s">
        <v>1329</v>
      </c>
      <c r="B261">
        <v>2767</v>
      </c>
      <c r="C261" t="s">
        <v>1330</v>
      </c>
    </row>
    <row r="262" spans="1:3">
      <c r="A262" t="s">
        <v>1331</v>
      </c>
      <c r="B262">
        <v>2770</v>
      </c>
      <c r="C262" t="s">
        <v>1332</v>
      </c>
    </row>
    <row r="263" spans="1:3">
      <c r="A263" t="s">
        <v>1333</v>
      </c>
      <c r="B263">
        <v>2774</v>
      </c>
      <c r="C263" t="s">
        <v>1334</v>
      </c>
    </row>
    <row r="264" spans="1:3">
      <c r="A264" t="s">
        <v>1335</v>
      </c>
      <c r="B264">
        <v>2777</v>
      </c>
      <c r="C264" t="s">
        <v>1336</v>
      </c>
    </row>
    <row r="265" spans="1:3">
      <c r="A265" t="s">
        <v>1337</v>
      </c>
      <c r="B265">
        <v>2780</v>
      </c>
      <c r="C265" t="s">
        <v>1338</v>
      </c>
    </row>
    <row r="266" spans="1:3">
      <c r="A266" t="s">
        <v>1339</v>
      </c>
      <c r="B266">
        <v>2790</v>
      </c>
      <c r="C266" t="s">
        <v>1340</v>
      </c>
    </row>
    <row r="267" spans="1:3">
      <c r="A267" t="s">
        <v>1341</v>
      </c>
      <c r="B267">
        <v>2795</v>
      </c>
      <c r="C267" t="s">
        <v>1342</v>
      </c>
    </row>
    <row r="268" spans="1:3">
      <c r="A268" t="s">
        <v>1343</v>
      </c>
      <c r="B268">
        <v>2799</v>
      </c>
      <c r="C268" t="s">
        <v>1344</v>
      </c>
    </row>
    <row r="269" spans="1:3">
      <c r="A269" t="s">
        <v>1345</v>
      </c>
      <c r="B269">
        <v>2800</v>
      </c>
      <c r="C269" t="s">
        <v>1346</v>
      </c>
    </row>
    <row r="270" spans="1:3">
      <c r="A270" t="s">
        <v>1347</v>
      </c>
      <c r="B270">
        <v>2810</v>
      </c>
      <c r="C270" t="s">
        <v>1348</v>
      </c>
    </row>
    <row r="271" spans="1:3">
      <c r="A271" t="s">
        <v>1349</v>
      </c>
      <c r="B271">
        <v>2820</v>
      </c>
      <c r="C271" t="s">
        <v>1350</v>
      </c>
    </row>
    <row r="272" spans="1:3">
      <c r="A272" t="s">
        <v>1351</v>
      </c>
      <c r="B272">
        <v>2821</v>
      </c>
      <c r="C272" t="s">
        <v>1352</v>
      </c>
    </row>
    <row r="273" spans="1:3">
      <c r="A273" t="s">
        <v>1353</v>
      </c>
      <c r="B273">
        <v>2830</v>
      </c>
      <c r="C273" t="s">
        <v>1354</v>
      </c>
    </row>
    <row r="274" spans="1:3">
      <c r="A274" t="s">
        <v>1355</v>
      </c>
      <c r="B274">
        <v>2836</v>
      </c>
      <c r="C274" t="s">
        <v>1356</v>
      </c>
    </row>
    <row r="275" spans="1:3">
      <c r="A275" t="s">
        <v>1357</v>
      </c>
      <c r="B275">
        <v>2840</v>
      </c>
      <c r="C275" t="s">
        <v>1358</v>
      </c>
    </row>
    <row r="276" spans="1:3">
      <c r="A276" t="s">
        <v>1359</v>
      </c>
      <c r="B276">
        <v>2845</v>
      </c>
      <c r="C276" t="s">
        <v>1360</v>
      </c>
    </row>
    <row r="277" spans="1:3">
      <c r="A277" t="s">
        <v>1361</v>
      </c>
      <c r="B277">
        <v>2848</v>
      </c>
      <c r="C277" t="s">
        <v>1362</v>
      </c>
    </row>
    <row r="278" spans="1:3">
      <c r="A278" t="s">
        <v>3262</v>
      </c>
      <c r="B278">
        <v>2850</v>
      </c>
      <c r="C278" t="s">
        <v>3263</v>
      </c>
    </row>
    <row r="279" spans="1:3">
      <c r="A279" t="s">
        <v>1363</v>
      </c>
      <c r="B279">
        <v>2859</v>
      </c>
      <c r="C279" t="s">
        <v>1364</v>
      </c>
    </row>
    <row r="280" spans="1:3">
      <c r="A280" t="s">
        <v>1365</v>
      </c>
      <c r="B280">
        <v>2860</v>
      </c>
      <c r="C280" t="s">
        <v>1366</v>
      </c>
    </row>
    <row r="281" spans="1:3">
      <c r="A281" t="s">
        <v>1367</v>
      </c>
      <c r="B281">
        <v>2861</v>
      </c>
      <c r="C281" t="s">
        <v>1368</v>
      </c>
    </row>
    <row r="282" spans="1:3">
      <c r="A282" t="s">
        <v>1369</v>
      </c>
      <c r="B282">
        <v>2869</v>
      </c>
      <c r="C282" t="s">
        <v>1370</v>
      </c>
    </row>
    <row r="283" spans="1:3">
      <c r="A283" t="s">
        <v>1371</v>
      </c>
      <c r="B283">
        <v>2870</v>
      </c>
      <c r="C283" t="s">
        <v>1372</v>
      </c>
    </row>
    <row r="284" spans="1:3">
      <c r="A284" t="s">
        <v>1373</v>
      </c>
      <c r="B284">
        <v>2871</v>
      </c>
      <c r="C284" t="s">
        <v>1374</v>
      </c>
    </row>
    <row r="285" spans="1:3">
      <c r="A285" t="s">
        <v>1375</v>
      </c>
      <c r="B285">
        <v>2877</v>
      </c>
      <c r="C285" t="s">
        <v>1376</v>
      </c>
    </row>
    <row r="286" spans="1:3">
      <c r="A286" t="s">
        <v>1377</v>
      </c>
      <c r="B286">
        <v>2880</v>
      </c>
      <c r="C286" t="s">
        <v>1378</v>
      </c>
    </row>
    <row r="287" spans="1:3">
      <c r="A287" t="s">
        <v>1379</v>
      </c>
      <c r="B287">
        <v>2881</v>
      </c>
      <c r="C287" t="s">
        <v>1380</v>
      </c>
    </row>
    <row r="288" spans="1:3">
      <c r="A288" t="s">
        <v>1381</v>
      </c>
      <c r="B288">
        <v>2882</v>
      </c>
      <c r="C288" t="s">
        <v>1382</v>
      </c>
    </row>
    <row r="289" spans="1:3">
      <c r="A289" t="s">
        <v>1383</v>
      </c>
      <c r="B289">
        <v>2900</v>
      </c>
      <c r="C289" t="s">
        <v>1384</v>
      </c>
    </row>
    <row r="290" spans="1:3">
      <c r="A290" t="s">
        <v>3264</v>
      </c>
      <c r="B290">
        <v>2902</v>
      </c>
      <c r="C290" t="s">
        <v>3265</v>
      </c>
    </row>
    <row r="291" spans="1:3">
      <c r="A291" t="s">
        <v>3266</v>
      </c>
      <c r="B291">
        <v>2903</v>
      </c>
      <c r="C291" t="s">
        <v>3267</v>
      </c>
    </row>
    <row r="292" spans="1:3">
      <c r="A292" t="s">
        <v>1385</v>
      </c>
      <c r="B292">
        <v>2912</v>
      </c>
      <c r="C292" t="s">
        <v>1386</v>
      </c>
    </row>
    <row r="293" spans="1:3">
      <c r="A293" t="s">
        <v>1387</v>
      </c>
      <c r="B293">
        <v>2920</v>
      </c>
      <c r="C293" t="s">
        <v>1388</v>
      </c>
    </row>
    <row r="294" spans="1:3">
      <c r="A294" t="s">
        <v>1389</v>
      </c>
      <c r="B294">
        <v>2922</v>
      </c>
      <c r="C294" t="s">
        <v>1390</v>
      </c>
    </row>
    <row r="295" spans="1:3">
      <c r="A295" t="s">
        <v>3467</v>
      </c>
      <c r="B295">
        <v>2930</v>
      </c>
      <c r="C295" t="s">
        <v>3468</v>
      </c>
    </row>
    <row r="296" spans="1:3">
      <c r="A296" t="s">
        <v>1391</v>
      </c>
      <c r="B296">
        <v>2937</v>
      </c>
      <c r="C296" t="s">
        <v>1392</v>
      </c>
    </row>
    <row r="297" spans="1:3">
      <c r="A297" t="s">
        <v>1393</v>
      </c>
      <c r="B297">
        <v>2938</v>
      </c>
      <c r="C297" t="s">
        <v>1394</v>
      </c>
    </row>
    <row r="298" spans="1:3">
      <c r="A298" t="s">
        <v>1395</v>
      </c>
      <c r="B298">
        <v>2942</v>
      </c>
      <c r="C298" t="s">
        <v>1396</v>
      </c>
    </row>
    <row r="299" spans="1:3">
      <c r="A299" t="s">
        <v>1397</v>
      </c>
      <c r="B299">
        <v>2948</v>
      </c>
      <c r="C299" t="s">
        <v>1398</v>
      </c>
    </row>
    <row r="300" spans="1:3">
      <c r="A300" t="s">
        <v>1399</v>
      </c>
      <c r="B300">
        <v>2949</v>
      </c>
      <c r="C300" t="s">
        <v>1400</v>
      </c>
    </row>
    <row r="301" spans="1:3">
      <c r="A301" t="s">
        <v>1401</v>
      </c>
      <c r="B301">
        <v>2957</v>
      </c>
      <c r="C301" t="s">
        <v>1402</v>
      </c>
    </row>
    <row r="302" spans="1:3">
      <c r="A302" t="s">
        <v>1403</v>
      </c>
      <c r="B302">
        <v>2960</v>
      </c>
      <c r="C302" t="s">
        <v>1404</v>
      </c>
    </row>
    <row r="303" spans="1:3">
      <c r="A303" t="s">
        <v>1405</v>
      </c>
      <c r="B303">
        <v>2970</v>
      </c>
      <c r="C303" t="s">
        <v>1406</v>
      </c>
    </row>
    <row r="304" spans="1:3">
      <c r="A304" t="s">
        <v>1407</v>
      </c>
      <c r="B304">
        <v>2971</v>
      </c>
      <c r="C304" t="s">
        <v>1406</v>
      </c>
    </row>
    <row r="305" spans="1:3">
      <c r="A305" t="s">
        <v>1408</v>
      </c>
      <c r="B305">
        <v>2997</v>
      </c>
      <c r="C305" t="s">
        <v>1409</v>
      </c>
    </row>
    <row r="306" spans="1:3">
      <c r="A306" t="s">
        <v>2584</v>
      </c>
      <c r="B306">
        <v>2998</v>
      </c>
      <c r="C306" t="s">
        <v>2585</v>
      </c>
    </row>
    <row r="307" spans="1:3">
      <c r="A307" t="s">
        <v>1410</v>
      </c>
      <c r="B307">
        <v>2999</v>
      </c>
      <c r="C307" t="s">
        <v>1411</v>
      </c>
    </row>
    <row r="308" spans="1:3">
      <c r="A308" t="s">
        <v>1412</v>
      </c>
      <c r="B308">
        <v>3000</v>
      </c>
      <c r="C308" t="s">
        <v>1413</v>
      </c>
    </row>
    <row r="309" spans="1:3">
      <c r="A309" t="s">
        <v>1414</v>
      </c>
      <c r="B309">
        <v>3010</v>
      </c>
      <c r="C309" t="s">
        <v>1415</v>
      </c>
    </row>
    <row r="310" spans="1:3">
      <c r="A310" t="s">
        <v>3268</v>
      </c>
      <c r="B310">
        <v>3014</v>
      </c>
      <c r="C310" t="s">
        <v>3269</v>
      </c>
    </row>
    <row r="311" spans="1:3">
      <c r="A311" t="s">
        <v>3469</v>
      </c>
      <c r="B311">
        <v>3018</v>
      </c>
      <c r="C311" t="s">
        <v>3042</v>
      </c>
    </row>
    <row r="312" spans="1:3">
      <c r="A312" t="s">
        <v>1416</v>
      </c>
      <c r="B312">
        <v>3020</v>
      </c>
      <c r="C312" t="s">
        <v>1417</v>
      </c>
    </row>
    <row r="313" spans="1:3">
      <c r="A313" t="s">
        <v>1418</v>
      </c>
      <c r="B313">
        <v>3030</v>
      </c>
      <c r="C313" t="s">
        <v>1419</v>
      </c>
    </row>
    <row r="314" spans="1:3">
      <c r="A314" t="s">
        <v>3270</v>
      </c>
      <c r="B314">
        <v>3040</v>
      </c>
      <c r="C314" t="s">
        <v>3271</v>
      </c>
    </row>
    <row r="315" spans="1:3">
      <c r="A315" t="s">
        <v>1420</v>
      </c>
      <c r="B315">
        <v>3050</v>
      </c>
      <c r="C315" t="s">
        <v>1421</v>
      </c>
    </row>
    <row r="316" spans="1:3">
      <c r="A316" t="s">
        <v>1422</v>
      </c>
      <c r="B316">
        <v>3060</v>
      </c>
      <c r="C316" t="s">
        <v>1423</v>
      </c>
    </row>
    <row r="317" spans="1:3">
      <c r="A317" t="s">
        <v>1424</v>
      </c>
      <c r="B317">
        <v>3070</v>
      </c>
      <c r="C317" t="s">
        <v>1425</v>
      </c>
    </row>
    <row r="318" spans="1:3">
      <c r="A318" t="s">
        <v>1426</v>
      </c>
      <c r="B318">
        <v>3080</v>
      </c>
      <c r="C318" t="s">
        <v>1427</v>
      </c>
    </row>
    <row r="319" spans="1:3">
      <c r="A319" t="s">
        <v>1428</v>
      </c>
      <c r="B319">
        <v>3090</v>
      </c>
      <c r="C319" t="s">
        <v>1429</v>
      </c>
    </row>
    <row r="320" spans="1:3">
      <c r="A320" t="s">
        <v>3470</v>
      </c>
      <c r="B320">
        <v>3095</v>
      </c>
      <c r="C320" t="s">
        <v>3128</v>
      </c>
    </row>
    <row r="321" spans="1:3">
      <c r="A321" t="s">
        <v>1430</v>
      </c>
      <c r="B321">
        <v>3100</v>
      </c>
      <c r="C321" t="s">
        <v>1431</v>
      </c>
    </row>
    <row r="322" spans="1:3">
      <c r="A322" t="s">
        <v>1432</v>
      </c>
      <c r="B322">
        <v>3110</v>
      </c>
      <c r="C322" t="s">
        <v>1433</v>
      </c>
    </row>
    <row r="323" spans="1:3">
      <c r="A323" t="s">
        <v>1434</v>
      </c>
      <c r="B323">
        <v>3120</v>
      </c>
      <c r="C323" t="s">
        <v>1435</v>
      </c>
    </row>
    <row r="324" spans="1:3">
      <c r="A324" t="s">
        <v>1436</v>
      </c>
      <c r="B324">
        <v>3130</v>
      </c>
      <c r="C324" t="s">
        <v>1437</v>
      </c>
    </row>
    <row r="325" spans="1:3">
      <c r="A325" t="s">
        <v>1438</v>
      </c>
      <c r="B325">
        <v>3150</v>
      </c>
      <c r="C325" t="s">
        <v>1439</v>
      </c>
    </row>
    <row r="326" spans="1:3">
      <c r="A326" t="s">
        <v>1440</v>
      </c>
      <c r="B326">
        <v>3160</v>
      </c>
      <c r="C326" t="s">
        <v>1441</v>
      </c>
    </row>
    <row r="327" spans="1:3">
      <c r="A327" t="s">
        <v>1442</v>
      </c>
      <c r="B327">
        <v>3170</v>
      </c>
      <c r="C327" t="s">
        <v>1443</v>
      </c>
    </row>
    <row r="328" spans="1:3">
      <c r="A328" t="s">
        <v>1444</v>
      </c>
      <c r="B328">
        <v>3190</v>
      </c>
      <c r="C328" t="s">
        <v>1445</v>
      </c>
    </row>
    <row r="329" spans="1:3">
      <c r="A329" t="s">
        <v>3129</v>
      </c>
      <c r="B329">
        <v>3210</v>
      </c>
      <c r="C329" t="s">
        <v>3130</v>
      </c>
    </row>
    <row r="330" spans="1:3">
      <c r="A330" t="s">
        <v>1446</v>
      </c>
      <c r="B330">
        <v>3220</v>
      </c>
      <c r="C330" t="s">
        <v>1447</v>
      </c>
    </row>
    <row r="331" spans="1:3">
      <c r="A331" t="s">
        <v>3131</v>
      </c>
      <c r="B331">
        <v>3230</v>
      </c>
      <c r="C331" t="s">
        <v>3028</v>
      </c>
    </row>
    <row r="332" spans="1:3">
      <c r="A332" t="s">
        <v>1448</v>
      </c>
      <c r="B332">
        <v>3240</v>
      </c>
      <c r="C332" t="s">
        <v>1449</v>
      </c>
    </row>
    <row r="333" spans="1:3">
      <c r="A333" t="s">
        <v>1450</v>
      </c>
      <c r="B333">
        <v>3250</v>
      </c>
      <c r="C333" t="s">
        <v>1451</v>
      </c>
    </row>
    <row r="334" spans="1:3">
      <c r="A334" t="s">
        <v>3272</v>
      </c>
      <c r="B334">
        <v>3260</v>
      </c>
      <c r="C334" t="s">
        <v>3273</v>
      </c>
    </row>
    <row r="335" spans="1:3">
      <c r="A335" t="s">
        <v>1452</v>
      </c>
      <c r="B335">
        <v>3270</v>
      </c>
      <c r="C335" t="s">
        <v>1453</v>
      </c>
    </row>
    <row r="336" spans="1:3">
      <c r="A336" t="s">
        <v>3132</v>
      </c>
      <c r="B336">
        <v>3280</v>
      </c>
      <c r="C336" t="s">
        <v>3018</v>
      </c>
    </row>
    <row r="337" spans="1:3">
      <c r="A337" t="s">
        <v>2927</v>
      </c>
      <c r="B337">
        <v>3290</v>
      </c>
      <c r="C337" t="s">
        <v>2928</v>
      </c>
    </row>
    <row r="338" spans="1:3">
      <c r="A338" t="s">
        <v>1454</v>
      </c>
      <c r="B338">
        <v>3300</v>
      </c>
      <c r="C338" t="s">
        <v>1455</v>
      </c>
    </row>
    <row r="339" spans="1:3">
      <c r="A339" t="s">
        <v>2929</v>
      </c>
      <c r="B339">
        <v>3350</v>
      </c>
      <c r="C339" t="s">
        <v>2930</v>
      </c>
    </row>
    <row r="340" spans="1:3">
      <c r="A340" t="s">
        <v>2931</v>
      </c>
      <c r="B340">
        <v>3360</v>
      </c>
      <c r="C340" t="s">
        <v>2932</v>
      </c>
    </row>
    <row r="341" spans="1:3">
      <c r="A341" t="s">
        <v>2933</v>
      </c>
      <c r="B341">
        <v>3370</v>
      </c>
      <c r="C341" t="s">
        <v>2934</v>
      </c>
    </row>
    <row r="342" spans="1:3">
      <c r="A342" t="s">
        <v>2935</v>
      </c>
      <c r="B342">
        <v>3380</v>
      </c>
      <c r="C342" t="s">
        <v>2936</v>
      </c>
    </row>
    <row r="343" spans="1:3">
      <c r="A343" t="s">
        <v>2937</v>
      </c>
      <c r="B343">
        <v>3390</v>
      </c>
      <c r="C343" t="s">
        <v>2938</v>
      </c>
    </row>
    <row r="344" spans="1:3">
      <c r="A344" t="s">
        <v>2939</v>
      </c>
      <c r="B344">
        <v>3400</v>
      </c>
      <c r="C344" t="s">
        <v>2940</v>
      </c>
    </row>
    <row r="345" spans="1:3">
      <c r="A345" t="s">
        <v>2941</v>
      </c>
      <c r="B345">
        <v>3410</v>
      </c>
      <c r="C345" t="s">
        <v>2942</v>
      </c>
    </row>
    <row r="346" spans="1:3">
      <c r="A346" t="s">
        <v>2943</v>
      </c>
      <c r="B346">
        <v>3420</v>
      </c>
      <c r="C346" t="s">
        <v>2944</v>
      </c>
    </row>
    <row r="347" spans="1:3">
      <c r="A347" t="s">
        <v>1456</v>
      </c>
      <c r="B347">
        <v>3430</v>
      </c>
      <c r="C347" t="s">
        <v>1457</v>
      </c>
    </row>
    <row r="348" spans="1:3">
      <c r="A348" t="s">
        <v>2945</v>
      </c>
      <c r="B348">
        <v>3440</v>
      </c>
      <c r="C348" t="s">
        <v>2946</v>
      </c>
    </row>
    <row r="349" spans="1:3">
      <c r="A349" t="s">
        <v>3274</v>
      </c>
      <c r="B349">
        <v>3450</v>
      </c>
      <c r="C349" t="s">
        <v>3275</v>
      </c>
    </row>
    <row r="350" spans="1:3">
      <c r="A350" t="s">
        <v>3471</v>
      </c>
      <c r="B350">
        <v>3460</v>
      </c>
      <c r="C350" t="s">
        <v>3472</v>
      </c>
    </row>
    <row r="351" spans="1:3">
      <c r="A351" t="s">
        <v>1458</v>
      </c>
      <c r="B351">
        <v>3470</v>
      </c>
      <c r="C351" t="s">
        <v>1459</v>
      </c>
    </row>
    <row r="352" spans="1:3">
      <c r="A352" t="s">
        <v>1460</v>
      </c>
      <c r="B352">
        <v>3480</v>
      </c>
      <c r="C352" t="s">
        <v>1461</v>
      </c>
    </row>
    <row r="353" spans="1:3">
      <c r="A353" t="s">
        <v>3473</v>
      </c>
      <c r="B353">
        <v>3490</v>
      </c>
      <c r="C353" t="s">
        <v>3474</v>
      </c>
    </row>
    <row r="354" spans="1:3">
      <c r="A354" t="s">
        <v>1462</v>
      </c>
      <c r="B354">
        <v>3500</v>
      </c>
      <c r="C354" t="s">
        <v>1463</v>
      </c>
    </row>
    <row r="355" spans="1:3">
      <c r="A355" t="s">
        <v>1464</v>
      </c>
      <c r="B355">
        <v>3510</v>
      </c>
      <c r="C355" t="s">
        <v>1465</v>
      </c>
    </row>
    <row r="356" spans="1:3">
      <c r="A356" t="s">
        <v>1466</v>
      </c>
      <c r="B356">
        <v>3520</v>
      </c>
      <c r="C356" t="s">
        <v>1467</v>
      </c>
    </row>
    <row r="357" spans="1:3">
      <c r="A357" t="s">
        <v>1468</v>
      </c>
      <c r="B357">
        <v>3530</v>
      </c>
      <c r="C357" t="s">
        <v>1469</v>
      </c>
    </row>
    <row r="358" spans="1:3">
      <c r="A358" t="s">
        <v>1470</v>
      </c>
      <c r="B358">
        <v>3590</v>
      </c>
      <c r="C358" t="s">
        <v>1471</v>
      </c>
    </row>
    <row r="359" spans="1:3">
      <c r="A359" t="s">
        <v>1472</v>
      </c>
      <c r="B359">
        <v>3610</v>
      </c>
      <c r="C359" t="s">
        <v>1473</v>
      </c>
    </row>
    <row r="360" spans="1:3">
      <c r="A360" t="s">
        <v>1474</v>
      </c>
      <c r="B360">
        <v>3620</v>
      </c>
      <c r="C360" t="s">
        <v>1475</v>
      </c>
    </row>
    <row r="361" spans="1:3">
      <c r="A361" t="s">
        <v>1476</v>
      </c>
      <c r="B361">
        <v>3640</v>
      </c>
      <c r="C361" t="s">
        <v>1477</v>
      </c>
    </row>
    <row r="362" spans="1:3">
      <c r="A362" t="s">
        <v>1478</v>
      </c>
      <c r="B362">
        <v>3660</v>
      </c>
      <c r="C362" t="s">
        <v>1479</v>
      </c>
    </row>
    <row r="363" spans="1:3">
      <c r="A363" t="s">
        <v>1480</v>
      </c>
      <c r="B363">
        <v>3670</v>
      </c>
      <c r="C363" t="s">
        <v>1481</v>
      </c>
    </row>
    <row r="364" spans="1:3">
      <c r="A364" t="s">
        <v>2947</v>
      </c>
      <c r="B364">
        <v>3690</v>
      </c>
      <c r="C364" t="s">
        <v>2948</v>
      </c>
    </row>
    <row r="365" spans="1:3">
      <c r="A365" t="s">
        <v>3133</v>
      </c>
      <c r="B365">
        <v>3710</v>
      </c>
      <c r="C365" t="s">
        <v>3134</v>
      </c>
    </row>
    <row r="366" spans="1:3">
      <c r="A366" t="s">
        <v>1482</v>
      </c>
      <c r="B366">
        <v>3720</v>
      </c>
      <c r="C366" t="s">
        <v>1483</v>
      </c>
    </row>
    <row r="367" spans="1:3">
      <c r="A367" t="s">
        <v>1484</v>
      </c>
      <c r="B367">
        <v>3730</v>
      </c>
      <c r="C367" t="s">
        <v>1485</v>
      </c>
    </row>
    <row r="368" spans="1:3">
      <c r="A368" t="s">
        <v>1486</v>
      </c>
      <c r="B368">
        <v>3750</v>
      </c>
      <c r="C368" t="s">
        <v>1487</v>
      </c>
    </row>
    <row r="369" spans="1:3">
      <c r="A369" t="s">
        <v>1488</v>
      </c>
      <c r="B369">
        <v>3770</v>
      </c>
      <c r="C369" t="s">
        <v>1489</v>
      </c>
    </row>
    <row r="370" spans="1:3">
      <c r="A370" t="s">
        <v>1490</v>
      </c>
      <c r="B370">
        <v>3780</v>
      </c>
      <c r="C370" t="s">
        <v>1491</v>
      </c>
    </row>
    <row r="371" spans="1:3">
      <c r="A371" t="s">
        <v>1492</v>
      </c>
      <c r="B371">
        <v>3790</v>
      </c>
      <c r="C371" t="s">
        <v>1493</v>
      </c>
    </row>
    <row r="372" spans="1:3">
      <c r="A372" t="s">
        <v>1494</v>
      </c>
      <c r="B372">
        <v>3800</v>
      </c>
      <c r="C372" t="s">
        <v>1495</v>
      </c>
    </row>
    <row r="373" spans="1:3">
      <c r="A373" t="s">
        <v>1496</v>
      </c>
      <c r="B373">
        <v>3810</v>
      </c>
      <c r="C373" t="s">
        <v>1497</v>
      </c>
    </row>
    <row r="374" spans="1:3">
      <c r="A374" t="s">
        <v>1498</v>
      </c>
      <c r="B374">
        <v>3820</v>
      </c>
      <c r="C374" t="s">
        <v>1499</v>
      </c>
    </row>
    <row r="375" spans="1:3">
      <c r="A375" t="s">
        <v>1500</v>
      </c>
      <c r="B375">
        <v>3830</v>
      </c>
      <c r="C375" t="s">
        <v>1501</v>
      </c>
    </row>
    <row r="376" spans="1:3">
      <c r="A376" t="s">
        <v>1502</v>
      </c>
      <c r="B376">
        <v>3840</v>
      </c>
      <c r="C376" t="s">
        <v>1503</v>
      </c>
    </row>
    <row r="377" spans="1:3">
      <c r="A377" t="s">
        <v>1504</v>
      </c>
      <c r="B377">
        <v>3860</v>
      </c>
      <c r="C377" t="s">
        <v>1505</v>
      </c>
    </row>
    <row r="378" spans="1:3">
      <c r="A378" t="s">
        <v>1506</v>
      </c>
      <c r="B378">
        <v>3870</v>
      </c>
      <c r="C378" t="s">
        <v>1507</v>
      </c>
    </row>
    <row r="379" spans="1:3">
      <c r="A379" t="s">
        <v>1508</v>
      </c>
      <c r="B379">
        <v>3880</v>
      </c>
      <c r="C379" t="s">
        <v>1509</v>
      </c>
    </row>
    <row r="380" spans="1:3">
      <c r="A380" t="s">
        <v>1510</v>
      </c>
      <c r="B380">
        <v>3890</v>
      </c>
      <c r="C380" t="s">
        <v>1511</v>
      </c>
    </row>
    <row r="381" spans="1:3">
      <c r="A381" t="s">
        <v>1512</v>
      </c>
      <c r="B381">
        <v>3900</v>
      </c>
      <c r="C381" t="s">
        <v>1513</v>
      </c>
    </row>
    <row r="382" spans="1:3">
      <c r="A382" t="s">
        <v>1514</v>
      </c>
      <c r="B382">
        <v>3930</v>
      </c>
      <c r="C382" t="s">
        <v>1515</v>
      </c>
    </row>
    <row r="383" spans="1:3">
      <c r="A383" t="s">
        <v>1516</v>
      </c>
      <c r="B383">
        <v>3940</v>
      </c>
      <c r="C383" t="s">
        <v>1517</v>
      </c>
    </row>
    <row r="384" spans="1:3">
      <c r="A384" t="s">
        <v>1518</v>
      </c>
      <c r="B384">
        <v>3960</v>
      </c>
      <c r="C384" t="s">
        <v>1519</v>
      </c>
    </row>
    <row r="385" spans="1:3">
      <c r="A385" t="s">
        <v>1520</v>
      </c>
      <c r="B385">
        <v>3970</v>
      </c>
      <c r="C385" t="s">
        <v>1521</v>
      </c>
    </row>
    <row r="386" spans="1:3">
      <c r="A386" t="s">
        <v>2586</v>
      </c>
      <c r="B386">
        <v>3998</v>
      </c>
      <c r="C386" t="s">
        <v>2587</v>
      </c>
    </row>
    <row r="387" spans="1:3">
      <c r="A387" t="s">
        <v>1522</v>
      </c>
      <c r="B387">
        <v>4000</v>
      </c>
      <c r="C387" t="s">
        <v>2949</v>
      </c>
    </row>
    <row r="388" spans="1:3">
      <c r="A388" t="s">
        <v>1523</v>
      </c>
      <c r="B388">
        <v>4010</v>
      </c>
      <c r="C388" t="s">
        <v>1524</v>
      </c>
    </row>
    <row r="389" spans="1:3">
      <c r="A389" t="s">
        <v>1525</v>
      </c>
      <c r="B389">
        <v>4014</v>
      </c>
      <c r="C389" t="s">
        <v>1526</v>
      </c>
    </row>
    <row r="390" spans="1:3">
      <c r="A390" t="s">
        <v>2950</v>
      </c>
      <c r="B390">
        <v>4030</v>
      </c>
      <c r="C390" t="s">
        <v>2951</v>
      </c>
    </row>
    <row r="391" spans="1:3">
      <c r="A391" t="s">
        <v>1527</v>
      </c>
      <c r="B391">
        <v>4060</v>
      </c>
      <c r="C391" t="s">
        <v>1528</v>
      </c>
    </row>
    <row r="392" spans="1:3">
      <c r="A392" t="s">
        <v>1529</v>
      </c>
      <c r="B392">
        <v>4070</v>
      </c>
      <c r="C392" t="s">
        <v>1530</v>
      </c>
    </row>
    <row r="393" spans="1:3">
      <c r="A393" t="s">
        <v>1531</v>
      </c>
      <c r="B393">
        <v>4080</v>
      </c>
      <c r="C393" t="s">
        <v>1532</v>
      </c>
    </row>
    <row r="394" spans="1:3">
      <c r="A394" t="s">
        <v>1533</v>
      </c>
      <c r="B394">
        <v>4100</v>
      </c>
      <c r="C394" t="s">
        <v>1534</v>
      </c>
    </row>
    <row r="395" spans="1:3">
      <c r="A395" t="s">
        <v>1535</v>
      </c>
      <c r="B395">
        <v>4220</v>
      </c>
      <c r="C395" t="s">
        <v>1536</v>
      </c>
    </row>
    <row r="396" spans="1:3">
      <c r="A396" t="s">
        <v>2952</v>
      </c>
      <c r="B396">
        <v>4230</v>
      </c>
      <c r="C396" t="s">
        <v>2953</v>
      </c>
    </row>
    <row r="397" spans="1:3">
      <c r="A397" t="s">
        <v>1537</v>
      </c>
      <c r="B397">
        <v>4240</v>
      </c>
      <c r="C397" t="s">
        <v>1538</v>
      </c>
    </row>
    <row r="398" spans="1:3">
      <c r="A398" t="s">
        <v>2859</v>
      </c>
      <c r="B398">
        <v>4250</v>
      </c>
      <c r="C398" t="s">
        <v>2860</v>
      </c>
    </row>
    <row r="399" spans="1:3">
      <c r="A399" t="s">
        <v>1539</v>
      </c>
      <c r="B399">
        <v>4260</v>
      </c>
      <c r="C399" t="s">
        <v>1540</v>
      </c>
    </row>
    <row r="400" spans="1:3">
      <c r="A400" t="s">
        <v>1541</v>
      </c>
      <c r="B400">
        <v>4290</v>
      </c>
      <c r="C400" t="s">
        <v>1542</v>
      </c>
    </row>
    <row r="401" spans="1:3">
      <c r="A401" t="s">
        <v>1543</v>
      </c>
      <c r="B401">
        <v>4300</v>
      </c>
      <c r="C401" t="s">
        <v>1544</v>
      </c>
    </row>
    <row r="402" spans="1:3">
      <c r="A402" t="s">
        <v>1545</v>
      </c>
      <c r="B402">
        <v>4310</v>
      </c>
      <c r="C402" t="s">
        <v>1546</v>
      </c>
    </row>
    <row r="403" spans="1:3">
      <c r="A403" t="s">
        <v>1547</v>
      </c>
      <c r="B403">
        <v>4311</v>
      </c>
      <c r="C403" t="s">
        <v>1548</v>
      </c>
    </row>
    <row r="404" spans="1:3">
      <c r="A404" t="s">
        <v>1549</v>
      </c>
      <c r="B404">
        <v>4312</v>
      </c>
      <c r="C404" t="s">
        <v>1550</v>
      </c>
    </row>
    <row r="405" spans="1:3">
      <c r="A405" t="s">
        <v>1551</v>
      </c>
      <c r="B405">
        <v>4313</v>
      </c>
      <c r="C405" t="s">
        <v>1552</v>
      </c>
    </row>
    <row r="406" spans="1:3">
      <c r="A406" t="s">
        <v>2588</v>
      </c>
      <c r="B406">
        <v>4314</v>
      </c>
      <c r="C406" t="s">
        <v>2589</v>
      </c>
    </row>
    <row r="407" spans="1:3">
      <c r="A407" t="s">
        <v>2861</v>
      </c>
      <c r="B407">
        <v>4315</v>
      </c>
      <c r="C407" t="s">
        <v>2862</v>
      </c>
    </row>
    <row r="408" spans="1:3">
      <c r="A408" t="s">
        <v>3276</v>
      </c>
      <c r="B408">
        <v>4350</v>
      </c>
      <c r="C408" t="s">
        <v>3277</v>
      </c>
    </row>
    <row r="409" spans="1:3">
      <c r="A409" t="s">
        <v>1553</v>
      </c>
      <c r="B409">
        <v>4360</v>
      </c>
      <c r="C409" t="s">
        <v>1554</v>
      </c>
    </row>
    <row r="410" spans="1:3">
      <c r="A410" t="s">
        <v>1555</v>
      </c>
      <c r="B410">
        <v>4361</v>
      </c>
      <c r="C410" t="s">
        <v>1556</v>
      </c>
    </row>
    <row r="411" spans="1:3">
      <c r="A411" t="s">
        <v>1557</v>
      </c>
      <c r="B411">
        <v>4362</v>
      </c>
      <c r="C411" t="s">
        <v>1558</v>
      </c>
    </row>
    <row r="412" spans="1:3">
      <c r="A412" t="s">
        <v>1559</v>
      </c>
      <c r="B412">
        <v>4363</v>
      </c>
      <c r="C412" t="s">
        <v>1560</v>
      </c>
    </row>
    <row r="413" spans="1:3">
      <c r="A413" t="s">
        <v>1561</v>
      </c>
      <c r="B413">
        <v>4366</v>
      </c>
      <c r="C413" t="s">
        <v>1562</v>
      </c>
    </row>
    <row r="414" spans="1:3">
      <c r="A414" t="s">
        <v>3135</v>
      </c>
      <c r="B414">
        <v>4370</v>
      </c>
      <c r="C414" t="s">
        <v>3136</v>
      </c>
    </row>
    <row r="415" spans="1:3">
      <c r="A415" t="s">
        <v>3137</v>
      </c>
      <c r="B415">
        <v>4371</v>
      </c>
      <c r="C415" t="s">
        <v>3138</v>
      </c>
    </row>
    <row r="416" spans="1:3">
      <c r="A416" t="s">
        <v>1563</v>
      </c>
      <c r="B416">
        <v>4460</v>
      </c>
      <c r="C416" t="s">
        <v>1564</v>
      </c>
    </row>
    <row r="417" spans="1:3">
      <c r="A417" t="s">
        <v>1565</v>
      </c>
      <c r="B417">
        <v>4461</v>
      </c>
      <c r="C417" t="s">
        <v>1566</v>
      </c>
    </row>
    <row r="418" spans="1:3">
      <c r="A418" t="s">
        <v>1567</v>
      </c>
      <c r="B418">
        <v>4462</v>
      </c>
      <c r="C418" t="s">
        <v>1568</v>
      </c>
    </row>
    <row r="419" spans="1:3">
      <c r="A419" t="s">
        <v>1569</v>
      </c>
      <c r="B419">
        <v>4463</v>
      </c>
      <c r="C419" t="s">
        <v>1570</v>
      </c>
    </row>
    <row r="420" spans="1:3">
      <c r="A420" t="s">
        <v>2590</v>
      </c>
      <c r="B420">
        <v>4470</v>
      </c>
      <c r="C420" t="s">
        <v>2591</v>
      </c>
    </row>
    <row r="421" spans="1:3">
      <c r="A421" t="s">
        <v>2592</v>
      </c>
      <c r="B421">
        <v>4471</v>
      </c>
      <c r="C421" t="s">
        <v>2593</v>
      </c>
    </row>
    <row r="422" spans="1:3">
      <c r="A422" t="s">
        <v>2594</v>
      </c>
      <c r="B422">
        <v>4472</v>
      </c>
      <c r="C422" t="s">
        <v>2595</v>
      </c>
    </row>
    <row r="423" spans="1:3">
      <c r="A423" t="s">
        <v>2596</v>
      </c>
      <c r="B423">
        <v>4473</v>
      </c>
      <c r="C423" t="s">
        <v>2597</v>
      </c>
    </row>
    <row r="424" spans="1:3">
      <c r="A424" t="s">
        <v>1571</v>
      </c>
      <c r="B424">
        <v>4500</v>
      </c>
      <c r="C424" t="s">
        <v>1572</v>
      </c>
    </row>
    <row r="425" spans="1:3">
      <c r="A425" t="s">
        <v>1573</v>
      </c>
      <c r="B425">
        <v>4510</v>
      </c>
      <c r="C425" t="s">
        <v>1574</v>
      </c>
    </row>
    <row r="426" spans="1:3">
      <c r="A426" t="s">
        <v>1575</v>
      </c>
      <c r="B426">
        <v>4540</v>
      </c>
      <c r="C426" t="s">
        <v>1576</v>
      </c>
    </row>
    <row r="427" spans="1:3">
      <c r="A427" t="s">
        <v>1577</v>
      </c>
      <c r="B427">
        <v>4550</v>
      </c>
      <c r="C427" t="s">
        <v>1578</v>
      </c>
    </row>
    <row r="428" spans="1:3">
      <c r="A428" t="s">
        <v>1579</v>
      </c>
      <c r="B428">
        <v>4590</v>
      </c>
      <c r="C428" t="s">
        <v>1580</v>
      </c>
    </row>
    <row r="429" spans="1:3">
      <c r="A429" t="s">
        <v>1581</v>
      </c>
      <c r="B429">
        <v>4610</v>
      </c>
      <c r="C429" t="s">
        <v>1582</v>
      </c>
    </row>
    <row r="430" spans="1:3">
      <c r="A430" t="s">
        <v>1583</v>
      </c>
      <c r="B430">
        <v>4660</v>
      </c>
      <c r="C430" t="s">
        <v>1584</v>
      </c>
    </row>
    <row r="431" spans="1:3">
      <c r="A431" t="s">
        <v>1585</v>
      </c>
      <c r="B431">
        <v>4700</v>
      </c>
      <c r="C431" t="s">
        <v>1298</v>
      </c>
    </row>
    <row r="432" spans="1:3">
      <c r="A432" t="s">
        <v>1586</v>
      </c>
      <c r="B432">
        <v>4710</v>
      </c>
      <c r="C432" t="s">
        <v>1587</v>
      </c>
    </row>
    <row r="433" spans="1:3">
      <c r="A433" t="s">
        <v>1588</v>
      </c>
      <c r="B433">
        <v>4711</v>
      </c>
      <c r="C433" t="s">
        <v>1589</v>
      </c>
    </row>
    <row r="434" spans="1:3">
      <c r="A434" t="s">
        <v>1590</v>
      </c>
      <c r="B434">
        <v>4720</v>
      </c>
      <c r="C434" t="s">
        <v>1591</v>
      </c>
    </row>
    <row r="435" spans="1:3">
      <c r="A435" t="s">
        <v>1592</v>
      </c>
      <c r="B435">
        <v>4730</v>
      </c>
      <c r="C435" t="s">
        <v>1593</v>
      </c>
    </row>
    <row r="436" spans="1:3">
      <c r="A436" t="s">
        <v>1594</v>
      </c>
      <c r="B436">
        <v>4740</v>
      </c>
      <c r="C436" t="s">
        <v>1595</v>
      </c>
    </row>
    <row r="437" spans="1:3">
      <c r="A437" t="s">
        <v>1596</v>
      </c>
      <c r="B437">
        <v>4750</v>
      </c>
      <c r="C437" t="s">
        <v>1597</v>
      </c>
    </row>
    <row r="438" spans="1:3">
      <c r="A438" t="s">
        <v>1598</v>
      </c>
      <c r="B438">
        <v>4760</v>
      </c>
      <c r="C438" t="s">
        <v>1599</v>
      </c>
    </row>
    <row r="439" spans="1:3">
      <c r="A439" t="s">
        <v>1600</v>
      </c>
      <c r="B439">
        <v>4766</v>
      </c>
      <c r="C439" t="s">
        <v>1601</v>
      </c>
    </row>
    <row r="440" spans="1:3">
      <c r="A440" t="s">
        <v>1602</v>
      </c>
      <c r="B440">
        <v>4767</v>
      </c>
      <c r="C440" t="s">
        <v>1603</v>
      </c>
    </row>
    <row r="441" spans="1:3">
      <c r="A441" t="s">
        <v>1604</v>
      </c>
      <c r="B441">
        <v>4768</v>
      </c>
      <c r="C441" t="s">
        <v>1605</v>
      </c>
    </row>
    <row r="442" spans="1:3">
      <c r="A442" t="s">
        <v>1606</v>
      </c>
      <c r="B442">
        <v>4769</v>
      </c>
      <c r="C442" t="s">
        <v>3139</v>
      </c>
    </row>
    <row r="443" spans="1:3">
      <c r="A443" t="s">
        <v>1607</v>
      </c>
      <c r="B443">
        <v>4770</v>
      </c>
      <c r="C443" t="s">
        <v>1608</v>
      </c>
    </row>
    <row r="444" spans="1:3">
      <c r="A444" t="s">
        <v>1609</v>
      </c>
      <c r="B444">
        <v>4780</v>
      </c>
      <c r="C444" t="s">
        <v>1610</v>
      </c>
    </row>
    <row r="445" spans="1:3">
      <c r="A445" t="s">
        <v>1611</v>
      </c>
      <c r="B445">
        <v>4800</v>
      </c>
      <c r="C445" t="s">
        <v>1612</v>
      </c>
    </row>
    <row r="446" spans="1:3">
      <c r="A446" t="s">
        <v>2954</v>
      </c>
      <c r="B446">
        <v>4810</v>
      </c>
      <c r="C446" t="s">
        <v>2955</v>
      </c>
    </row>
    <row r="447" spans="1:3">
      <c r="A447" t="s">
        <v>3140</v>
      </c>
      <c r="B447">
        <v>4820</v>
      </c>
      <c r="C447" t="s">
        <v>3141</v>
      </c>
    </row>
    <row r="448" spans="1:3">
      <c r="A448" t="s">
        <v>1613</v>
      </c>
      <c r="B448">
        <v>4860</v>
      </c>
      <c r="C448" t="s">
        <v>1614</v>
      </c>
    </row>
    <row r="449" spans="1:3">
      <c r="A449" t="s">
        <v>1615</v>
      </c>
      <c r="B449">
        <v>4880</v>
      </c>
      <c r="C449" t="s">
        <v>1616</v>
      </c>
    </row>
    <row r="450" spans="1:3">
      <c r="A450" t="s">
        <v>3278</v>
      </c>
      <c r="B450">
        <v>4890</v>
      </c>
      <c r="C450" t="s">
        <v>3279</v>
      </c>
    </row>
    <row r="451" spans="1:3">
      <c r="A451" t="s">
        <v>3280</v>
      </c>
      <c r="B451">
        <v>4900</v>
      </c>
      <c r="C451" t="s">
        <v>1384</v>
      </c>
    </row>
    <row r="452" spans="1:3">
      <c r="A452" t="s">
        <v>2598</v>
      </c>
      <c r="B452">
        <v>4998</v>
      </c>
      <c r="C452" t="s">
        <v>2599</v>
      </c>
    </row>
    <row r="453" spans="1:3">
      <c r="A453" t="s">
        <v>1617</v>
      </c>
      <c r="B453">
        <v>5001</v>
      </c>
      <c r="C453" t="s">
        <v>1618</v>
      </c>
    </row>
    <row r="454" spans="1:3">
      <c r="A454" t="s">
        <v>1619</v>
      </c>
      <c r="B454">
        <v>5010</v>
      </c>
      <c r="C454" t="s">
        <v>1620</v>
      </c>
    </row>
    <row r="455" spans="1:3">
      <c r="A455" t="s">
        <v>1621</v>
      </c>
      <c r="B455">
        <v>5020</v>
      </c>
      <c r="C455" t="s">
        <v>1622</v>
      </c>
    </row>
    <row r="456" spans="1:3">
      <c r="A456" t="s">
        <v>1623</v>
      </c>
      <c r="B456">
        <v>5050</v>
      </c>
      <c r="C456" t="s">
        <v>1624</v>
      </c>
    </row>
    <row r="457" spans="1:3">
      <c r="A457" t="s">
        <v>1625</v>
      </c>
      <c r="B457">
        <v>5100</v>
      </c>
      <c r="C457" t="s">
        <v>1626</v>
      </c>
    </row>
    <row r="458" spans="1:3">
      <c r="A458" t="s">
        <v>1627</v>
      </c>
      <c r="B458">
        <v>5172</v>
      </c>
      <c r="C458" t="s">
        <v>1628</v>
      </c>
    </row>
    <row r="459" spans="1:3">
      <c r="A459" t="s">
        <v>1629</v>
      </c>
      <c r="B459">
        <v>5174</v>
      </c>
      <c r="C459" t="s">
        <v>3142</v>
      </c>
    </row>
    <row r="460" spans="1:3">
      <c r="A460" t="s">
        <v>3281</v>
      </c>
      <c r="B460">
        <v>5175</v>
      </c>
      <c r="C460" t="s">
        <v>3282</v>
      </c>
    </row>
    <row r="461" spans="1:3">
      <c r="A461" t="s">
        <v>1630</v>
      </c>
      <c r="B461">
        <v>5176</v>
      </c>
      <c r="C461" t="s">
        <v>3143</v>
      </c>
    </row>
    <row r="462" spans="1:3">
      <c r="A462" t="s">
        <v>3283</v>
      </c>
      <c r="B462">
        <v>5177</v>
      </c>
      <c r="C462" t="s">
        <v>3284</v>
      </c>
    </row>
    <row r="463" spans="1:3">
      <c r="A463" t="s">
        <v>3285</v>
      </c>
      <c r="B463">
        <v>5178</v>
      </c>
      <c r="C463" t="s">
        <v>3286</v>
      </c>
    </row>
    <row r="464" spans="1:3">
      <c r="A464" t="s">
        <v>2956</v>
      </c>
      <c r="B464">
        <v>5179</v>
      </c>
      <c r="C464" t="s">
        <v>2957</v>
      </c>
    </row>
    <row r="465" spans="1:3">
      <c r="A465" t="s">
        <v>3475</v>
      </c>
      <c r="B465">
        <v>5180</v>
      </c>
      <c r="C465" t="s">
        <v>3476</v>
      </c>
    </row>
    <row r="466" spans="1:3">
      <c r="A466" t="s">
        <v>1631</v>
      </c>
      <c r="B466">
        <v>5200</v>
      </c>
      <c r="C466" t="s">
        <v>1632</v>
      </c>
    </row>
    <row r="467" spans="1:3">
      <c r="A467" t="s">
        <v>1633</v>
      </c>
      <c r="B467">
        <v>5220</v>
      </c>
      <c r="C467" t="s">
        <v>1634</v>
      </c>
    </row>
    <row r="468" spans="1:3">
      <c r="A468" t="s">
        <v>1635</v>
      </c>
      <c r="B468">
        <v>5238</v>
      </c>
      <c r="C468" t="s">
        <v>1636</v>
      </c>
    </row>
    <row r="469" spans="1:3">
      <c r="A469" t="s">
        <v>1637</v>
      </c>
      <c r="B469">
        <v>5330</v>
      </c>
      <c r="C469" t="s">
        <v>1638</v>
      </c>
    </row>
    <row r="470" spans="1:3">
      <c r="A470" t="s">
        <v>1639</v>
      </c>
      <c r="B470">
        <v>5360</v>
      </c>
      <c r="C470" t="s">
        <v>1640</v>
      </c>
    </row>
    <row r="471" spans="1:3">
      <c r="A471" t="s">
        <v>1641</v>
      </c>
      <c r="B471">
        <v>5370</v>
      </c>
      <c r="C471" t="s">
        <v>1642</v>
      </c>
    </row>
    <row r="472" spans="1:3">
      <c r="A472" t="s">
        <v>2600</v>
      </c>
      <c r="B472">
        <v>5400</v>
      </c>
      <c r="C472" t="s">
        <v>2601</v>
      </c>
    </row>
    <row r="473" spans="1:3">
      <c r="A473" t="s">
        <v>2602</v>
      </c>
      <c r="B473">
        <v>5420</v>
      </c>
      <c r="C473" t="s">
        <v>2603</v>
      </c>
    </row>
    <row r="474" spans="1:3">
      <c r="A474" t="s">
        <v>1643</v>
      </c>
      <c r="B474">
        <v>5880</v>
      </c>
      <c r="C474" t="s">
        <v>1644</v>
      </c>
    </row>
    <row r="475" spans="1:3">
      <c r="A475" t="s">
        <v>1645</v>
      </c>
      <c r="B475">
        <v>5881</v>
      </c>
      <c r="C475" t="s">
        <v>1646</v>
      </c>
    </row>
    <row r="476" spans="1:3">
      <c r="A476" t="s">
        <v>1647</v>
      </c>
      <c r="B476">
        <v>5910</v>
      </c>
      <c r="C476" t="s">
        <v>1648</v>
      </c>
    </row>
    <row r="477" spans="1:3">
      <c r="A477" t="s">
        <v>2604</v>
      </c>
      <c r="B477">
        <v>5998</v>
      </c>
      <c r="C477" t="s">
        <v>2605</v>
      </c>
    </row>
    <row r="478" spans="1:3">
      <c r="A478" t="s">
        <v>1649</v>
      </c>
      <c r="B478">
        <v>6010</v>
      </c>
      <c r="C478" t="s">
        <v>1650</v>
      </c>
    </row>
    <row r="479" spans="1:3">
      <c r="A479" t="s">
        <v>1651</v>
      </c>
      <c r="B479">
        <v>6011</v>
      </c>
      <c r="C479" t="s">
        <v>2863</v>
      </c>
    </row>
    <row r="480" spans="1:3">
      <c r="A480" t="s">
        <v>3144</v>
      </c>
      <c r="B480">
        <v>6018</v>
      </c>
      <c r="C480" t="s">
        <v>3145</v>
      </c>
    </row>
    <row r="481" spans="1:3">
      <c r="A481" t="s">
        <v>1652</v>
      </c>
      <c r="B481">
        <v>6020</v>
      </c>
      <c r="C481" t="s">
        <v>1653</v>
      </c>
    </row>
    <row r="482" spans="1:3">
      <c r="A482" t="s">
        <v>1654</v>
      </c>
      <c r="B482">
        <v>6030</v>
      </c>
      <c r="C482" t="s">
        <v>1655</v>
      </c>
    </row>
    <row r="483" spans="1:3">
      <c r="A483" t="s">
        <v>1656</v>
      </c>
      <c r="B483">
        <v>6040</v>
      </c>
      <c r="C483" t="s">
        <v>1657</v>
      </c>
    </row>
    <row r="484" spans="1:3">
      <c r="A484" t="s">
        <v>1658</v>
      </c>
      <c r="B484">
        <v>6050</v>
      </c>
      <c r="C484" t="s">
        <v>1659</v>
      </c>
    </row>
    <row r="485" spans="1:3">
      <c r="A485" t="s">
        <v>1660</v>
      </c>
      <c r="B485">
        <v>6060</v>
      </c>
      <c r="C485" t="s">
        <v>1661</v>
      </c>
    </row>
    <row r="486" spans="1:3">
      <c r="A486" t="s">
        <v>1662</v>
      </c>
      <c r="B486">
        <v>6070</v>
      </c>
      <c r="C486" t="s">
        <v>1663</v>
      </c>
    </row>
    <row r="487" spans="1:3">
      <c r="A487" t="s">
        <v>1664</v>
      </c>
      <c r="B487">
        <v>6080</v>
      </c>
      <c r="C487" t="s">
        <v>1665</v>
      </c>
    </row>
    <row r="488" spans="1:3">
      <c r="A488" t="s">
        <v>1666</v>
      </c>
      <c r="B488">
        <v>6090</v>
      </c>
      <c r="C488" t="s">
        <v>1667</v>
      </c>
    </row>
    <row r="489" spans="1:3">
      <c r="A489" t="s">
        <v>1668</v>
      </c>
      <c r="B489">
        <v>6100</v>
      </c>
      <c r="C489" t="s">
        <v>1669</v>
      </c>
    </row>
    <row r="490" spans="1:3">
      <c r="A490" t="s">
        <v>3287</v>
      </c>
      <c r="B490">
        <v>6110</v>
      </c>
      <c r="C490" t="s">
        <v>3288</v>
      </c>
    </row>
    <row r="491" spans="1:3">
      <c r="A491" t="s">
        <v>2606</v>
      </c>
      <c r="B491">
        <v>6129</v>
      </c>
      <c r="C491" t="s">
        <v>2607</v>
      </c>
    </row>
    <row r="492" spans="1:3">
      <c r="A492" t="s">
        <v>1670</v>
      </c>
      <c r="B492">
        <v>6136</v>
      </c>
      <c r="C492" t="s">
        <v>1671</v>
      </c>
    </row>
    <row r="493" spans="1:3">
      <c r="A493" t="s">
        <v>2608</v>
      </c>
      <c r="B493">
        <v>6137</v>
      </c>
      <c r="C493" t="s">
        <v>2609</v>
      </c>
    </row>
    <row r="494" spans="1:3">
      <c r="A494" t="s">
        <v>1672</v>
      </c>
      <c r="B494">
        <v>6150</v>
      </c>
      <c r="C494" t="s">
        <v>1673</v>
      </c>
    </row>
    <row r="495" spans="1:3">
      <c r="A495" t="s">
        <v>1674</v>
      </c>
      <c r="B495">
        <v>6170</v>
      </c>
      <c r="C495" t="s">
        <v>1675</v>
      </c>
    </row>
    <row r="496" spans="1:3">
      <c r="A496" t="s">
        <v>1676</v>
      </c>
      <c r="B496">
        <v>6194</v>
      </c>
      <c r="C496" t="s">
        <v>1677</v>
      </c>
    </row>
    <row r="497" spans="1:3">
      <c r="A497" t="s">
        <v>1678</v>
      </c>
      <c r="B497">
        <v>6200</v>
      </c>
      <c r="C497" t="s">
        <v>1679</v>
      </c>
    </row>
    <row r="498" spans="1:3">
      <c r="A498" t="s">
        <v>1680</v>
      </c>
      <c r="B498">
        <v>6210</v>
      </c>
      <c r="C498" t="s">
        <v>1681</v>
      </c>
    </row>
    <row r="499" spans="1:3">
      <c r="A499" t="s">
        <v>1682</v>
      </c>
      <c r="B499">
        <v>6220</v>
      </c>
      <c r="C499" t="s">
        <v>1683</v>
      </c>
    </row>
    <row r="500" spans="1:3">
      <c r="A500" t="s">
        <v>1684</v>
      </c>
      <c r="B500">
        <v>6350</v>
      </c>
      <c r="C500" t="s">
        <v>1685</v>
      </c>
    </row>
    <row r="501" spans="1:3">
      <c r="A501" t="s">
        <v>2610</v>
      </c>
      <c r="B501">
        <v>6998</v>
      </c>
      <c r="C501" t="s">
        <v>2611</v>
      </c>
    </row>
    <row r="502" spans="1:3">
      <c r="A502" t="s">
        <v>1686</v>
      </c>
      <c r="B502">
        <v>7002</v>
      </c>
      <c r="C502" t="s">
        <v>1687</v>
      </c>
    </row>
    <row r="503" spans="1:3">
      <c r="A503" t="s">
        <v>1688</v>
      </c>
      <c r="B503">
        <v>7003</v>
      </c>
      <c r="C503" t="s">
        <v>1689</v>
      </c>
    </row>
    <row r="504" spans="1:3">
      <c r="A504" t="s">
        <v>1690</v>
      </c>
      <c r="B504">
        <v>7004</v>
      </c>
      <c r="C504" t="s">
        <v>1691</v>
      </c>
    </row>
    <row r="505" spans="1:3">
      <c r="A505" t="s">
        <v>1692</v>
      </c>
      <c r="B505">
        <v>7005</v>
      </c>
      <c r="C505" t="s">
        <v>1693</v>
      </c>
    </row>
    <row r="506" spans="1:3">
      <c r="A506" t="s">
        <v>2958</v>
      </c>
      <c r="B506">
        <v>7006</v>
      </c>
      <c r="C506" t="s">
        <v>2959</v>
      </c>
    </row>
    <row r="507" spans="1:3">
      <c r="A507" t="s">
        <v>2960</v>
      </c>
      <c r="B507">
        <v>7007</v>
      </c>
      <c r="C507" t="s">
        <v>2961</v>
      </c>
    </row>
    <row r="508" spans="1:3">
      <c r="A508" t="s">
        <v>2962</v>
      </c>
      <c r="B508">
        <v>7008</v>
      </c>
      <c r="C508" t="s">
        <v>2963</v>
      </c>
    </row>
    <row r="509" spans="1:3">
      <c r="A509" t="s">
        <v>2964</v>
      </c>
      <c r="B509">
        <v>7009</v>
      </c>
      <c r="C509" t="s">
        <v>2965</v>
      </c>
    </row>
    <row r="510" spans="1:3">
      <c r="A510" t="s">
        <v>1694</v>
      </c>
      <c r="B510">
        <v>7010</v>
      </c>
      <c r="C510" t="s">
        <v>1695</v>
      </c>
    </row>
    <row r="511" spans="1:3">
      <c r="A511" t="s">
        <v>1696</v>
      </c>
      <c r="B511">
        <v>7011</v>
      </c>
      <c r="C511" t="s">
        <v>1697</v>
      </c>
    </row>
    <row r="512" spans="1:3">
      <c r="A512" t="s">
        <v>1698</v>
      </c>
      <c r="B512">
        <v>7012</v>
      </c>
      <c r="C512" t="s">
        <v>1699</v>
      </c>
    </row>
    <row r="513" spans="1:3">
      <c r="A513" t="s">
        <v>1700</v>
      </c>
      <c r="B513">
        <v>7013</v>
      </c>
      <c r="C513" t="s">
        <v>1701</v>
      </c>
    </row>
    <row r="514" spans="1:3">
      <c r="A514" t="s">
        <v>2966</v>
      </c>
      <c r="B514">
        <v>7014</v>
      </c>
      <c r="C514" t="s">
        <v>2967</v>
      </c>
    </row>
    <row r="515" spans="1:3">
      <c r="A515" t="s">
        <v>3477</v>
      </c>
      <c r="B515">
        <v>7016</v>
      </c>
      <c r="C515" t="s">
        <v>3478</v>
      </c>
    </row>
    <row r="516" spans="1:3">
      <c r="A516" t="s">
        <v>2968</v>
      </c>
      <c r="B516">
        <v>7017</v>
      </c>
      <c r="C516" t="s">
        <v>2969</v>
      </c>
    </row>
    <row r="517" spans="1:3">
      <c r="A517" t="s">
        <v>2970</v>
      </c>
      <c r="B517">
        <v>7018</v>
      </c>
      <c r="C517" t="s">
        <v>2971</v>
      </c>
    </row>
    <row r="518" spans="1:3">
      <c r="A518" t="s">
        <v>1702</v>
      </c>
      <c r="B518">
        <v>7020</v>
      </c>
      <c r="C518" t="s">
        <v>1703</v>
      </c>
    </row>
    <row r="519" spans="1:3">
      <c r="A519" t="s">
        <v>1704</v>
      </c>
      <c r="B519">
        <v>7030</v>
      </c>
      <c r="C519" t="s">
        <v>1705</v>
      </c>
    </row>
    <row r="520" spans="1:3">
      <c r="A520" t="s">
        <v>1706</v>
      </c>
      <c r="B520">
        <v>7033</v>
      </c>
      <c r="C520" t="s">
        <v>1707</v>
      </c>
    </row>
    <row r="521" spans="1:3">
      <c r="A521" t="s">
        <v>3146</v>
      </c>
      <c r="B521">
        <v>7035</v>
      </c>
      <c r="C521" t="s">
        <v>3147</v>
      </c>
    </row>
    <row r="522" spans="1:3">
      <c r="A522" t="s">
        <v>1708</v>
      </c>
      <c r="B522">
        <v>7040</v>
      </c>
      <c r="C522" t="s">
        <v>1709</v>
      </c>
    </row>
    <row r="523" spans="1:3">
      <c r="A523" t="s">
        <v>2972</v>
      </c>
      <c r="B523">
        <v>7041</v>
      </c>
      <c r="C523" t="s">
        <v>2973</v>
      </c>
    </row>
    <row r="524" spans="1:3">
      <c r="A524" t="s">
        <v>1710</v>
      </c>
      <c r="B524">
        <v>7050</v>
      </c>
      <c r="C524" t="s">
        <v>1711</v>
      </c>
    </row>
    <row r="525" spans="1:3">
      <c r="A525" t="s">
        <v>1712</v>
      </c>
      <c r="B525">
        <v>7060</v>
      </c>
      <c r="C525" t="s">
        <v>1713</v>
      </c>
    </row>
    <row r="526" spans="1:3">
      <c r="A526" t="s">
        <v>1714</v>
      </c>
      <c r="B526">
        <v>7070</v>
      </c>
      <c r="C526" t="s">
        <v>1715</v>
      </c>
    </row>
    <row r="527" spans="1:3">
      <c r="A527" t="s">
        <v>1716</v>
      </c>
      <c r="B527">
        <v>7080</v>
      </c>
      <c r="C527" t="s">
        <v>1717</v>
      </c>
    </row>
    <row r="528" spans="1:3">
      <c r="A528" t="s">
        <v>1718</v>
      </c>
      <c r="B528">
        <v>7081</v>
      </c>
      <c r="C528" t="s">
        <v>1719</v>
      </c>
    </row>
    <row r="529" spans="1:3">
      <c r="A529" t="s">
        <v>1720</v>
      </c>
      <c r="B529">
        <v>7082</v>
      </c>
      <c r="C529" t="s">
        <v>1721</v>
      </c>
    </row>
    <row r="530" spans="1:3">
      <c r="A530" t="s">
        <v>1722</v>
      </c>
      <c r="B530">
        <v>7083</v>
      </c>
      <c r="C530" t="s">
        <v>1723</v>
      </c>
    </row>
    <row r="531" spans="1:3">
      <c r="A531" t="s">
        <v>3479</v>
      </c>
      <c r="B531">
        <v>7084</v>
      </c>
      <c r="C531" t="s">
        <v>3480</v>
      </c>
    </row>
    <row r="532" spans="1:3">
      <c r="A532" t="s">
        <v>1724</v>
      </c>
      <c r="B532">
        <v>7090</v>
      </c>
      <c r="C532" t="s">
        <v>1725</v>
      </c>
    </row>
    <row r="533" spans="1:3">
      <c r="A533" t="s">
        <v>1726</v>
      </c>
      <c r="B533">
        <v>7100</v>
      </c>
      <c r="C533" t="s">
        <v>1727</v>
      </c>
    </row>
    <row r="534" spans="1:3">
      <c r="A534" t="s">
        <v>1728</v>
      </c>
      <c r="B534">
        <v>7101</v>
      </c>
      <c r="C534" t="s">
        <v>1729</v>
      </c>
    </row>
    <row r="535" spans="1:3">
      <c r="A535" t="s">
        <v>1730</v>
      </c>
      <c r="B535">
        <v>7102</v>
      </c>
      <c r="C535" t="s">
        <v>1731</v>
      </c>
    </row>
    <row r="536" spans="1:3">
      <c r="A536" t="s">
        <v>1732</v>
      </c>
      <c r="B536">
        <v>7103</v>
      </c>
      <c r="C536" t="s">
        <v>1733</v>
      </c>
    </row>
    <row r="537" spans="1:3">
      <c r="A537" t="s">
        <v>3148</v>
      </c>
      <c r="B537">
        <v>7104</v>
      </c>
      <c r="C537" t="s">
        <v>3149</v>
      </c>
    </row>
    <row r="538" spans="1:3">
      <c r="A538" t="s">
        <v>1734</v>
      </c>
      <c r="B538">
        <v>7110</v>
      </c>
      <c r="C538" t="s">
        <v>1735</v>
      </c>
    </row>
    <row r="539" spans="1:3">
      <c r="A539" t="s">
        <v>1736</v>
      </c>
      <c r="B539">
        <v>7111</v>
      </c>
      <c r="C539" t="s">
        <v>1737</v>
      </c>
    </row>
    <row r="540" spans="1:3">
      <c r="A540" t="s">
        <v>1738</v>
      </c>
      <c r="B540">
        <v>7112</v>
      </c>
      <c r="C540" t="s">
        <v>1739</v>
      </c>
    </row>
    <row r="541" spans="1:3">
      <c r="A541" t="s">
        <v>1740</v>
      </c>
      <c r="B541">
        <v>7113</v>
      </c>
      <c r="C541" t="s">
        <v>1741</v>
      </c>
    </row>
    <row r="542" spans="1:3">
      <c r="A542" t="s">
        <v>1742</v>
      </c>
      <c r="B542">
        <v>7114</v>
      </c>
      <c r="C542" t="s">
        <v>1743</v>
      </c>
    </row>
    <row r="543" spans="1:3">
      <c r="A543" t="s">
        <v>3150</v>
      </c>
      <c r="B543">
        <v>7115</v>
      </c>
      <c r="C543" t="s">
        <v>3151</v>
      </c>
    </row>
    <row r="544" spans="1:3">
      <c r="A544" t="s">
        <v>1744</v>
      </c>
      <c r="B544">
        <v>7120</v>
      </c>
      <c r="C544" t="s">
        <v>1745</v>
      </c>
    </row>
    <row r="545" spans="1:3">
      <c r="A545" t="s">
        <v>1746</v>
      </c>
      <c r="B545">
        <v>7121</v>
      </c>
      <c r="C545" t="s">
        <v>1747</v>
      </c>
    </row>
    <row r="546" spans="1:3">
      <c r="A546" t="s">
        <v>1748</v>
      </c>
      <c r="B546">
        <v>7128</v>
      </c>
      <c r="C546" t="s">
        <v>1749</v>
      </c>
    </row>
    <row r="547" spans="1:3">
      <c r="A547" t="s">
        <v>1750</v>
      </c>
      <c r="B547">
        <v>7129</v>
      </c>
      <c r="C547" t="s">
        <v>1751</v>
      </c>
    </row>
    <row r="548" spans="1:3">
      <c r="A548" t="s">
        <v>1752</v>
      </c>
      <c r="B548">
        <v>7130</v>
      </c>
      <c r="C548" t="s">
        <v>1753</v>
      </c>
    </row>
    <row r="549" spans="1:3">
      <c r="A549" t="s">
        <v>1754</v>
      </c>
      <c r="B549">
        <v>7140</v>
      </c>
      <c r="C549" t="s">
        <v>1755</v>
      </c>
    </row>
    <row r="550" spans="1:3">
      <c r="A550" t="s">
        <v>1756</v>
      </c>
      <c r="B550">
        <v>7141</v>
      </c>
      <c r="C550" t="s">
        <v>1757</v>
      </c>
    </row>
    <row r="551" spans="1:3">
      <c r="A551" t="s">
        <v>1758</v>
      </c>
      <c r="B551">
        <v>7146</v>
      </c>
      <c r="C551" t="s">
        <v>1759</v>
      </c>
    </row>
    <row r="552" spans="1:3">
      <c r="A552" t="s">
        <v>1760</v>
      </c>
      <c r="B552">
        <v>7149</v>
      </c>
      <c r="C552" t="s">
        <v>1761</v>
      </c>
    </row>
    <row r="553" spans="1:3">
      <c r="A553" t="s">
        <v>1762</v>
      </c>
      <c r="B553">
        <v>7150</v>
      </c>
      <c r="C553" t="s">
        <v>1763</v>
      </c>
    </row>
    <row r="554" spans="1:3">
      <c r="A554" t="s">
        <v>1764</v>
      </c>
      <c r="B554">
        <v>7151</v>
      </c>
      <c r="C554" t="s">
        <v>1765</v>
      </c>
    </row>
    <row r="555" spans="1:3">
      <c r="A555" t="s">
        <v>1766</v>
      </c>
      <c r="B555">
        <v>7152</v>
      </c>
      <c r="C555" t="s">
        <v>1767</v>
      </c>
    </row>
    <row r="556" spans="1:3">
      <c r="A556" t="s">
        <v>1768</v>
      </c>
      <c r="B556">
        <v>7153</v>
      </c>
      <c r="C556" t="s">
        <v>1769</v>
      </c>
    </row>
    <row r="557" spans="1:3">
      <c r="A557" t="s">
        <v>1770</v>
      </c>
      <c r="B557">
        <v>7154</v>
      </c>
      <c r="C557" t="s">
        <v>1771</v>
      </c>
    </row>
    <row r="558" spans="1:3">
      <c r="A558" t="s">
        <v>1772</v>
      </c>
      <c r="B558">
        <v>7155</v>
      </c>
      <c r="C558" t="s">
        <v>1773</v>
      </c>
    </row>
    <row r="559" spans="1:3">
      <c r="A559" t="s">
        <v>1774</v>
      </c>
      <c r="B559">
        <v>7156</v>
      </c>
      <c r="C559" t="s">
        <v>1775</v>
      </c>
    </row>
    <row r="560" spans="1:3">
      <c r="A560" t="s">
        <v>1776</v>
      </c>
      <c r="B560">
        <v>7158</v>
      </c>
      <c r="C560" t="s">
        <v>1777</v>
      </c>
    </row>
    <row r="561" spans="1:3">
      <c r="A561" t="s">
        <v>1778</v>
      </c>
      <c r="B561">
        <v>7159</v>
      </c>
      <c r="C561" t="s">
        <v>1779</v>
      </c>
    </row>
    <row r="562" spans="1:3">
      <c r="A562" t="s">
        <v>1780</v>
      </c>
      <c r="B562">
        <v>7160</v>
      </c>
      <c r="C562" t="s">
        <v>1781</v>
      </c>
    </row>
    <row r="563" spans="1:3">
      <c r="A563" t="s">
        <v>1782</v>
      </c>
      <c r="B563">
        <v>7161</v>
      </c>
      <c r="C563" t="s">
        <v>1783</v>
      </c>
    </row>
    <row r="564" spans="1:3">
      <c r="A564" t="s">
        <v>1784</v>
      </c>
      <c r="B564">
        <v>7162</v>
      </c>
      <c r="C564" t="s">
        <v>1785</v>
      </c>
    </row>
    <row r="565" spans="1:3">
      <c r="A565" t="s">
        <v>1786</v>
      </c>
      <c r="B565">
        <v>7171</v>
      </c>
      <c r="C565" t="s">
        <v>1787</v>
      </c>
    </row>
    <row r="566" spans="1:3">
      <c r="A566" t="s">
        <v>1788</v>
      </c>
      <c r="B566">
        <v>7180</v>
      </c>
      <c r="C566" t="s">
        <v>1789</v>
      </c>
    </row>
    <row r="567" spans="1:3">
      <c r="A567" t="s">
        <v>1790</v>
      </c>
      <c r="B567">
        <v>7182</v>
      </c>
      <c r="C567" t="s">
        <v>1791</v>
      </c>
    </row>
    <row r="568" spans="1:3">
      <c r="A568" t="s">
        <v>1792</v>
      </c>
      <c r="B568">
        <v>7190</v>
      </c>
      <c r="C568" t="s">
        <v>1793</v>
      </c>
    </row>
    <row r="569" spans="1:3">
      <c r="A569" t="s">
        <v>1794</v>
      </c>
      <c r="B569">
        <v>7191</v>
      </c>
      <c r="C569" t="s">
        <v>1795</v>
      </c>
    </row>
    <row r="570" spans="1:3">
      <c r="A570" t="s">
        <v>1796</v>
      </c>
      <c r="B570">
        <v>7194</v>
      </c>
      <c r="C570" t="s">
        <v>1797</v>
      </c>
    </row>
    <row r="571" spans="1:3">
      <c r="A571" t="s">
        <v>1798</v>
      </c>
      <c r="B571">
        <v>7195</v>
      </c>
      <c r="C571" t="s">
        <v>1799</v>
      </c>
    </row>
    <row r="572" spans="1:3">
      <c r="A572" t="s">
        <v>1800</v>
      </c>
      <c r="B572">
        <v>7200</v>
      </c>
      <c r="C572" t="s">
        <v>1801</v>
      </c>
    </row>
    <row r="573" spans="1:3">
      <c r="A573" t="s">
        <v>1802</v>
      </c>
      <c r="B573">
        <v>7201</v>
      </c>
      <c r="C573" t="s">
        <v>1803</v>
      </c>
    </row>
    <row r="574" spans="1:3">
      <c r="A574" t="s">
        <v>1804</v>
      </c>
      <c r="B574">
        <v>7204</v>
      </c>
      <c r="C574" t="s">
        <v>1805</v>
      </c>
    </row>
    <row r="575" spans="1:3">
      <c r="A575" t="s">
        <v>1806</v>
      </c>
      <c r="B575">
        <v>7205</v>
      </c>
      <c r="C575" t="s">
        <v>1807</v>
      </c>
    </row>
    <row r="576" spans="1:3">
      <c r="A576" t="s">
        <v>1808</v>
      </c>
      <c r="B576">
        <v>7210</v>
      </c>
      <c r="C576" t="s">
        <v>1809</v>
      </c>
    </row>
    <row r="577" spans="1:3">
      <c r="A577" t="s">
        <v>1810</v>
      </c>
      <c r="B577">
        <v>7211</v>
      </c>
      <c r="C577" t="s">
        <v>1811</v>
      </c>
    </row>
    <row r="578" spans="1:3">
      <c r="A578" t="s">
        <v>1812</v>
      </c>
      <c r="B578">
        <v>7212</v>
      </c>
      <c r="C578" t="s">
        <v>1813</v>
      </c>
    </row>
    <row r="579" spans="1:3">
      <c r="A579" t="s">
        <v>1814</v>
      </c>
      <c r="B579">
        <v>7213</v>
      </c>
      <c r="C579" t="s">
        <v>1815</v>
      </c>
    </row>
    <row r="580" spans="1:3">
      <c r="A580" t="s">
        <v>1816</v>
      </c>
      <c r="B580">
        <v>7216</v>
      </c>
      <c r="C580" t="s">
        <v>1817</v>
      </c>
    </row>
    <row r="581" spans="1:3">
      <c r="A581" t="s">
        <v>1818</v>
      </c>
      <c r="B581">
        <v>7220</v>
      </c>
      <c r="C581" t="s">
        <v>1819</v>
      </c>
    </row>
    <row r="582" spans="1:3">
      <c r="A582" t="s">
        <v>1820</v>
      </c>
      <c r="B582">
        <v>7230</v>
      </c>
      <c r="C582" t="s">
        <v>1821</v>
      </c>
    </row>
    <row r="583" spans="1:3">
      <c r="A583" t="s">
        <v>1822</v>
      </c>
      <c r="B583">
        <v>7231</v>
      </c>
      <c r="C583" t="s">
        <v>1823</v>
      </c>
    </row>
    <row r="584" spans="1:3">
      <c r="A584" t="s">
        <v>1824</v>
      </c>
      <c r="B584">
        <v>7240</v>
      </c>
      <c r="C584" t="s">
        <v>1825</v>
      </c>
    </row>
    <row r="585" spans="1:3">
      <c r="A585" t="s">
        <v>1826</v>
      </c>
      <c r="B585">
        <v>7245</v>
      </c>
      <c r="C585" t="s">
        <v>1827</v>
      </c>
    </row>
    <row r="586" spans="1:3">
      <c r="A586" t="s">
        <v>3289</v>
      </c>
      <c r="B586">
        <v>7247</v>
      </c>
      <c r="C586" t="s">
        <v>2071</v>
      </c>
    </row>
    <row r="587" spans="1:3">
      <c r="A587" t="s">
        <v>1828</v>
      </c>
      <c r="B587">
        <v>7250</v>
      </c>
      <c r="C587" t="s">
        <v>1829</v>
      </c>
    </row>
    <row r="588" spans="1:3">
      <c r="A588" t="s">
        <v>1830</v>
      </c>
      <c r="B588">
        <v>7251</v>
      </c>
      <c r="C588" t="s">
        <v>1831</v>
      </c>
    </row>
    <row r="589" spans="1:3">
      <c r="A589" t="s">
        <v>1832</v>
      </c>
      <c r="B589">
        <v>7252</v>
      </c>
      <c r="C589" t="s">
        <v>1833</v>
      </c>
    </row>
    <row r="590" spans="1:3">
      <c r="A590" t="s">
        <v>1834</v>
      </c>
      <c r="B590">
        <v>7253</v>
      </c>
      <c r="C590" t="s">
        <v>1835</v>
      </c>
    </row>
    <row r="591" spans="1:3">
      <c r="A591" t="s">
        <v>1836</v>
      </c>
      <c r="B591">
        <v>7254</v>
      </c>
      <c r="C591" t="s">
        <v>1837</v>
      </c>
    </row>
    <row r="592" spans="1:3">
      <c r="A592" t="s">
        <v>1838</v>
      </c>
      <c r="B592">
        <v>7256</v>
      </c>
      <c r="C592" t="s">
        <v>1839</v>
      </c>
    </row>
    <row r="593" spans="1:3">
      <c r="A593" t="s">
        <v>1840</v>
      </c>
      <c r="B593">
        <v>7260</v>
      </c>
      <c r="C593" t="s">
        <v>1841</v>
      </c>
    </row>
    <row r="594" spans="1:3">
      <c r="A594" t="s">
        <v>1842</v>
      </c>
      <c r="B594">
        <v>7261</v>
      </c>
      <c r="C594" t="s">
        <v>1843</v>
      </c>
    </row>
    <row r="595" spans="1:3">
      <c r="A595" t="s">
        <v>1844</v>
      </c>
      <c r="B595">
        <v>7270</v>
      </c>
      <c r="C595" t="s">
        <v>1845</v>
      </c>
    </row>
    <row r="596" spans="1:3">
      <c r="A596" t="s">
        <v>1846</v>
      </c>
      <c r="B596">
        <v>7271</v>
      </c>
      <c r="C596" t="s">
        <v>1847</v>
      </c>
    </row>
    <row r="597" spans="1:3">
      <c r="A597" t="s">
        <v>1848</v>
      </c>
      <c r="B597">
        <v>7280</v>
      </c>
      <c r="C597" t="s">
        <v>1849</v>
      </c>
    </row>
    <row r="598" spans="1:3">
      <c r="A598" t="s">
        <v>1850</v>
      </c>
      <c r="B598">
        <v>7290</v>
      </c>
      <c r="C598" t="s">
        <v>1851</v>
      </c>
    </row>
    <row r="599" spans="1:3">
      <c r="A599" t="s">
        <v>1852</v>
      </c>
      <c r="B599">
        <v>7291</v>
      </c>
      <c r="C599" t="s">
        <v>1853</v>
      </c>
    </row>
    <row r="600" spans="1:3">
      <c r="A600" t="s">
        <v>3481</v>
      </c>
      <c r="B600">
        <v>7292</v>
      </c>
      <c r="C600" t="s">
        <v>3482</v>
      </c>
    </row>
    <row r="601" spans="1:3">
      <c r="A601" t="s">
        <v>1854</v>
      </c>
      <c r="B601">
        <v>7300</v>
      </c>
      <c r="C601" t="s">
        <v>1855</v>
      </c>
    </row>
    <row r="602" spans="1:3">
      <c r="A602" t="s">
        <v>1856</v>
      </c>
      <c r="B602">
        <v>7301</v>
      </c>
      <c r="C602" t="s">
        <v>1857</v>
      </c>
    </row>
    <row r="603" spans="1:3">
      <c r="A603" t="s">
        <v>1858</v>
      </c>
      <c r="B603">
        <v>7304</v>
      </c>
      <c r="C603" t="s">
        <v>1859</v>
      </c>
    </row>
    <row r="604" spans="1:3">
      <c r="A604" t="s">
        <v>1860</v>
      </c>
      <c r="B604">
        <v>7305</v>
      </c>
      <c r="C604" t="s">
        <v>1861</v>
      </c>
    </row>
    <row r="605" spans="1:3">
      <c r="A605" t="s">
        <v>1862</v>
      </c>
      <c r="B605">
        <v>7311</v>
      </c>
      <c r="C605" t="s">
        <v>1863</v>
      </c>
    </row>
    <row r="606" spans="1:3">
      <c r="A606" t="s">
        <v>1864</v>
      </c>
      <c r="B606">
        <v>7320</v>
      </c>
      <c r="C606" t="s">
        <v>1865</v>
      </c>
    </row>
    <row r="607" spans="1:3">
      <c r="A607" t="s">
        <v>1866</v>
      </c>
      <c r="B607">
        <v>7330</v>
      </c>
      <c r="C607" t="s">
        <v>1867</v>
      </c>
    </row>
    <row r="608" spans="1:3">
      <c r="A608" t="s">
        <v>1868</v>
      </c>
      <c r="B608">
        <v>7331</v>
      </c>
      <c r="C608" t="s">
        <v>1869</v>
      </c>
    </row>
    <row r="609" spans="1:3">
      <c r="A609" t="s">
        <v>1870</v>
      </c>
      <c r="B609">
        <v>7340</v>
      </c>
      <c r="C609" t="s">
        <v>1871</v>
      </c>
    </row>
    <row r="610" spans="1:3">
      <c r="A610" t="s">
        <v>1872</v>
      </c>
      <c r="B610">
        <v>7341</v>
      </c>
      <c r="C610" t="s">
        <v>1873</v>
      </c>
    </row>
    <row r="611" spans="1:3">
      <c r="A611" t="s">
        <v>1874</v>
      </c>
      <c r="B611">
        <v>7350</v>
      </c>
      <c r="C611" t="s">
        <v>1875</v>
      </c>
    </row>
    <row r="612" spans="1:3">
      <c r="A612" t="s">
        <v>1876</v>
      </c>
      <c r="B612">
        <v>7360</v>
      </c>
      <c r="C612" t="s">
        <v>1877</v>
      </c>
    </row>
    <row r="613" spans="1:3">
      <c r="A613" t="s">
        <v>1878</v>
      </c>
      <c r="B613">
        <v>7361</v>
      </c>
      <c r="C613" t="s">
        <v>1879</v>
      </c>
    </row>
    <row r="614" spans="1:3">
      <c r="A614" t="s">
        <v>1880</v>
      </c>
      <c r="B614">
        <v>7370</v>
      </c>
      <c r="C614" t="s">
        <v>1881</v>
      </c>
    </row>
    <row r="615" spans="1:3">
      <c r="A615" t="s">
        <v>1882</v>
      </c>
      <c r="B615">
        <v>7380</v>
      </c>
      <c r="C615" t="s">
        <v>1883</v>
      </c>
    </row>
    <row r="616" spans="1:3">
      <c r="A616" t="s">
        <v>2864</v>
      </c>
      <c r="B616">
        <v>7383</v>
      </c>
      <c r="C616" t="s">
        <v>2865</v>
      </c>
    </row>
    <row r="617" spans="1:3">
      <c r="A617" t="s">
        <v>1884</v>
      </c>
      <c r="B617">
        <v>7390</v>
      </c>
      <c r="C617" t="s">
        <v>1885</v>
      </c>
    </row>
    <row r="618" spans="1:3">
      <c r="A618" t="s">
        <v>1886</v>
      </c>
      <c r="B618">
        <v>7400</v>
      </c>
      <c r="C618" t="s">
        <v>1887</v>
      </c>
    </row>
    <row r="619" spans="1:3">
      <c r="A619" t="s">
        <v>1888</v>
      </c>
      <c r="B619">
        <v>7401</v>
      </c>
      <c r="C619" t="s">
        <v>1889</v>
      </c>
    </row>
    <row r="620" spans="1:3">
      <c r="A620" t="s">
        <v>1890</v>
      </c>
      <c r="B620">
        <v>7403</v>
      </c>
      <c r="C620" t="s">
        <v>1891</v>
      </c>
    </row>
    <row r="621" spans="1:3">
      <c r="A621" t="s">
        <v>1892</v>
      </c>
      <c r="B621">
        <v>7405</v>
      </c>
      <c r="C621" t="s">
        <v>1893</v>
      </c>
    </row>
    <row r="622" spans="1:3">
      <c r="A622" t="s">
        <v>1894</v>
      </c>
      <c r="B622">
        <v>7409</v>
      </c>
      <c r="C622" t="s">
        <v>1895</v>
      </c>
    </row>
    <row r="623" spans="1:3">
      <c r="A623" t="s">
        <v>1896</v>
      </c>
      <c r="B623">
        <v>7410</v>
      </c>
      <c r="C623" t="s">
        <v>1897</v>
      </c>
    </row>
    <row r="624" spans="1:3">
      <c r="A624" t="s">
        <v>1898</v>
      </c>
      <c r="B624">
        <v>7411</v>
      </c>
      <c r="C624" t="s">
        <v>1899</v>
      </c>
    </row>
    <row r="625" spans="1:3">
      <c r="A625" t="s">
        <v>1900</v>
      </c>
      <c r="B625">
        <v>7420</v>
      </c>
      <c r="C625" t="s">
        <v>1901</v>
      </c>
    </row>
    <row r="626" spans="1:3">
      <c r="A626" t="s">
        <v>1902</v>
      </c>
      <c r="B626">
        <v>7421</v>
      </c>
      <c r="C626" t="s">
        <v>1903</v>
      </c>
    </row>
    <row r="627" spans="1:3">
      <c r="A627" t="s">
        <v>1904</v>
      </c>
      <c r="B627">
        <v>7422</v>
      </c>
      <c r="C627" t="s">
        <v>1905</v>
      </c>
    </row>
    <row r="628" spans="1:3">
      <c r="A628" t="s">
        <v>1906</v>
      </c>
      <c r="B628">
        <v>7430</v>
      </c>
      <c r="C628" t="s">
        <v>1907</v>
      </c>
    </row>
    <row r="629" spans="1:3">
      <c r="A629" t="s">
        <v>1908</v>
      </c>
      <c r="B629">
        <v>7440</v>
      </c>
      <c r="C629" t="s">
        <v>1909</v>
      </c>
    </row>
    <row r="630" spans="1:3">
      <c r="A630" t="s">
        <v>1910</v>
      </c>
      <c r="B630">
        <v>7450</v>
      </c>
      <c r="C630" t="s">
        <v>1911</v>
      </c>
    </row>
    <row r="631" spans="1:3">
      <c r="A631" t="s">
        <v>1912</v>
      </c>
      <c r="B631">
        <v>7451</v>
      </c>
      <c r="C631" t="s">
        <v>1913</v>
      </c>
    </row>
    <row r="632" spans="1:3">
      <c r="A632" t="s">
        <v>1914</v>
      </c>
      <c r="B632">
        <v>7460</v>
      </c>
      <c r="C632" t="s">
        <v>1915</v>
      </c>
    </row>
    <row r="633" spans="1:3">
      <c r="A633" t="s">
        <v>1916</v>
      </c>
      <c r="B633">
        <v>7461</v>
      </c>
      <c r="C633" t="s">
        <v>1917</v>
      </c>
    </row>
    <row r="634" spans="1:3">
      <c r="A634" t="s">
        <v>1918</v>
      </c>
      <c r="B634">
        <v>7470</v>
      </c>
      <c r="C634" t="s">
        <v>1919</v>
      </c>
    </row>
    <row r="635" spans="1:3">
      <c r="A635" t="s">
        <v>1920</v>
      </c>
      <c r="B635">
        <v>7471</v>
      </c>
      <c r="C635" t="s">
        <v>1921</v>
      </c>
    </row>
    <row r="636" spans="1:3">
      <c r="A636" t="s">
        <v>1922</v>
      </c>
      <c r="B636">
        <v>7480</v>
      </c>
      <c r="C636" t="s">
        <v>1923</v>
      </c>
    </row>
    <row r="637" spans="1:3">
      <c r="A637" t="s">
        <v>1924</v>
      </c>
      <c r="B637">
        <v>7481</v>
      </c>
      <c r="C637" t="s">
        <v>1925</v>
      </c>
    </row>
    <row r="638" spans="1:3">
      <c r="A638" t="s">
        <v>1926</v>
      </c>
      <c r="B638">
        <v>7490</v>
      </c>
      <c r="C638" t="s">
        <v>1927</v>
      </c>
    </row>
    <row r="639" spans="1:3">
      <c r="A639" t="s">
        <v>1928</v>
      </c>
      <c r="B639">
        <v>7500</v>
      </c>
      <c r="C639" t="s">
        <v>1929</v>
      </c>
    </row>
    <row r="640" spans="1:3">
      <c r="A640" t="s">
        <v>1930</v>
      </c>
      <c r="B640">
        <v>7510</v>
      </c>
      <c r="C640" t="s">
        <v>1931</v>
      </c>
    </row>
    <row r="641" spans="1:3">
      <c r="A641" t="s">
        <v>1932</v>
      </c>
      <c r="B641">
        <v>7520</v>
      </c>
      <c r="C641" t="s">
        <v>1933</v>
      </c>
    </row>
    <row r="642" spans="1:3">
      <c r="A642" t="s">
        <v>1934</v>
      </c>
      <c r="B642">
        <v>7530</v>
      </c>
      <c r="C642" t="s">
        <v>1935</v>
      </c>
    </row>
    <row r="643" spans="1:3">
      <c r="A643" t="s">
        <v>1936</v>
      </c>
      <c r="B643">
        <v>7531</v>
      </c>
      <c r="C643" t="s">
        <v>1937</v>
      </c>
    </row>
    <row r="644" spans="1:3">
      <c r="A644" t="s">
        <v>1938</v>
      </c>
      <c r="B644">
        <v>7540</v>
      </c>
      <c r="C644" t="s">
        <v>1939</v>
      </c>
    </row>
    <row r="645" spans="1:3">
      <c r="A645" t="s">
        <v>1940</v>
      </c>
      <c r="B645">
        <v>7541</v>
      </c>
      <c r="C645" t="s">
        <v>1941</v>
      </c>
    </row>
    <row r="646" spans="1:3">
      <c r="A646" t="s">
        <v>1942</v>
      </c>
      <c r="B646">
        <v>7550</v>
      </c>
      <c r="C646" t="s">
        <v>1943</v>
      </c>
    </row>
    <row r="647" spans="1:3">
      <c r="A647" t="s">
        <v>1944</v>
      </c>
      <c r="B647">
        <v>7551</v>
      </c>
      <c r="C647" t="s">
        <v>1945</v>
      </c>
    </row>
    <row r="648" spans="1:3">
      <c r="A648" t="s">
        <v>1946</v>
      </c>
      <c r="B648">
        <v>7552</v>
      </c>
      <c r="C648" t="s">
        <v>1947</v>
      </c>
    </row>
    <row r="649" spans="1:3">
      <c r="A649" t="s">
        <v>1948</v>
      </c>
      <c r="B649">
        <v>7553</v>
      </c>
      <c r="C649" t="s">
        <v>1150</v>
      </c>
    </row>
    <row r="650" spans="1:3">
      <c r="A650" t="s">
        <v>1949</v>
      </c>
      <c r="B650">
        <v>7560</v>
      </c>
      <c r="C650" t="s">
        <v>1950</v>
      </c>
    </row>
    <row r="651" spans="1:3">
      <c r="A651" t="s">
        <v>1951</v>
      </c>
      <c r="B651">
        <v>7561</v>
      </c>
      <c r="C651" t="s">
        <v>1952</v>
      </c>
    </row>
    <row r="652" spans="1:3">
      <c r="A652" t="s">
        <v>2728</v>
      </c>
      <c r="B652">
        <v>7562</v>
      </c>
      <c r="C652" t="s">
        <v>2729</v>
      </c>
    </row>
    <row r="653" spans="1:3">
      <c r="A653" t="s">
        <v>1953</v>
      </c>
      <c r="B653">
        <v>7570</v>
      </c>
      <c r="C653" t="s">
        <v>1954</v>
      </c>
    </row>
    <row r="654" spans="1:3">
      <c r="A654" t="s">
        <v>1955</v>
      </c>
      <c r="B654">
        <v>7580</v>
      </c>
      <c r="C654" t="s">
        <v>1956</v>
      </c>
    </row>
    <row r="655" spans="1:3">
      <c r="A655" t="s">
        <v>1957</v>
      </c>
      <c r="B655">
        <v>7581</v>
      </c>
      <c r="C655" t="s">
        <v>1958</v>
      </c>
    </row>
    <row r="656" spans="1:3">
      <c r="A656" t="s">
        <v>1959</v>
      </c>
      <c r="B656">
        <v>7584</v>
      </c>
      <c r="C656" t="s">
        <v>1960</v>
      </c>
    </row>
    <row r="657" spans="1:3">
      <c r="A657" t="s">
        <v>1961</v>
      </c>
      <c r="B657">
        <v>7600</v>
      </c>
      <c r="C657" t="s">
        <v>1962</v>
      </c>
    </row>
    <row r="658" spans="1:3">
      <c r="A658" t="s">
        <v>1963</v>
      </c>
      <c r="B658">
        <v>7601</v>
      </c>
      <c r="C658" t="s">
        <v>1964</v>
      </c>
    </row>
    <row r="659" spans="1:3">
      <c r="A659" t="s">
        <v>1965</v>
      </c>
      <c r="B659">
        <v>7604</v>
      </c>
      <c r="C659" t="s">
        <v>1966</v>
      </c>
    </row>
    <row r="660" spans="1:3">
      <c r="A660" t="s">
        <v>1967</v>
      </c>
      <c r="B660">
        <v>7610</v>
      </c>
      <c r="C660" t="s">
        <v>1968</v>
      </c>
    </row>
    <row r="661" spans="1:3">
      <c r="A661" t="s">
        <v>1969</v>
      </c>
      <c r="B661">
        <v>7611</v>
      </c>
      <c r="C661" t="s">
        <v>1970</v>
      </c>
    </row>
    <row r="662" spans="1:3">
      <c r="A662" t="s">
        <v>1971</v>
      </c>
      <c r="B662">
        <v>7614</v>
      </c>
      <c r="C662" t="s">
        <v>1972</v>
      </c>
    </row>
    <row r="663" spans="1:3">
      <c r="A663" t="s">
        <v>2730</v>
      </c>
      <c r="B663">
        <v>7620</v>
      </c>
      <c r="C663" t="s">
        <v>2731</v>
      </c>
    </row>
    <row r="664" spans="1:3">
      <c r="A664" t="s">
        <v>1973</v>
      </c>
      <c r="B664">
        <v>7660</v>
      </c>
      <c r="C664" t="s">
        <v>1974</v>
      </c>
    </row>
    <row r="665" spans="1:3">
      <c r="A665" t="s">
        <v>1975</v>
      </c>
      <c r="B665">
        <v>7690</v>
      </c>
      <c r="C665" t="s">
        <v>1976</v>
      </c>
    </row>
    <row r="666" spans="1:3">
      <c r="A666" t="s">
        <v>1977</v>
      </c>
      <c r="B666">
        <v>7710</v>
      </c>
      <c r="C666" t="s">
        <v>1978</v>
      </c>
    </row>
    <row r="667" spans="1:3">
      <c r="A667" t="s">
        <v>1979</v>
      </c>
      <c r="B667">
        <v>7720</v>
      </c>
      <c r="C667" t="s">
        <v>1980</v>
      </c>
    </row>
    <row r="668" spans="1:3">
      <c r="A668" t="s">
        <v>1981</v>
      </c>
      <c r="B668">
        <v>7740</v>
      </c>
      <c r="C668" t="s">
        <v>1982</v>
      </c>
    </row>
    <row r="669" spans="1:3">
      <c r="A669" t="s">
        <v>1983</v>
      </c>
      <c r="B669">
        <v>7750</v>
      </c>
      <c r="C669" t="s">
        <v>1984</v>
      </c>
    </row>
    <row r="670" spans="1:3">
      <c r="A670" t="s">
        <v>1985</v>
      </c>
      <c r="B670">
        <v>7751</v>
      </c>
      <c r="C670" t="s">
        <v>1986</v>
      </c>
    </row>
    <row r="671" spans="1:3">
      <c r="A671" t="s">
        <v>1987</v>
      </c>
      <c r="B671">
        <v>7754</v>
      </c>
      <c r="C671" t="s">
        <v>1988</v>
      </c>
    </row>
    <row r="672" spans="1:3">
      <c r="A672" t="s">
        <v>1989</v>
      </c>
      <c r="B672">
        <v>7760</v>
      </c>
      <c r="C672" t="s">
        <v>1990</v>
      </c>
    </row>
    <row r="673" spans="1:3">
      <c r="A673" t="s">
        <v>1991</v>
      </c>
      <c r="B673">
        <v>7770</v>
      </c>
      <c r="C673" t="s">
        <v>1992</v>
      </c>
    </row>
    <row r="674" spans="1:3">
      <c r="A674" t="s">
        <v>1993</v>
      </c>
      <c r="B674">
        <v>7799</v>
      </c>
      <c r="C674" t="s">
        <v>1994</v>
      </c>
    </row>
    <row r="675" spans="1:3">
      <c r="A675" t="s">
        <v>1995</v>
      </c>
      <c r="B675">
        <v>7800</v>
      </c>
      <c r="C675" t="s">
        <v>1996</v>
      </c>
    </row>
    <row r="676" spans="1:3">
      <c r="A676" t="s">
        <v>1997</v>
      </c>
      <c r="B676">
        <v>7810</v>
      </c>
      <c r="C676" t="s">
        <v>1998</v>
      </c>
    </row>
    <row r="677" spans="1:3">
      <c r="A677" t="s">
        <v>1999</v>
      </c>
      <c r="B677">
        <v>7820</v>
      </c>
      <c r="C677" t="s">
        <v>2000</v>
      </c>
    </row>
    <row r="678" spans="1:3">
      <c r="A678" t="s">
        <v>2001</v>
      </c>
      <c r="B678">
        <v>7821</v>
      </c>
      <c r="C678" t="s">
        <v>2002</v>
      </c>
    </row>
    <row r="679" spans="1:3">
      <c r="A679" t="s">
        <v>2003</v>
      </c>
      <c r="B679">
        <v>7822</v>
      </c>
      <c r="C679" t="s">
        <v>2004</v>
      </c>
    </row>
    <row r="680" spans="1:3">
      <c r="A680" t="s">
        <v>2005</v>
      </c>
      <c r="B680">
        <v>7823</v>
      </c>
      <c r="C680" t="s">
        <v>2006</v>
      </c>
    </row>
    <row r="681" spans="1:3">
      <c r="A681" t="s">
        <v>2007</v>
      </c>
      <c r="B681">
        <v>7824</v>
      </c>
      <c r="C681" t="s">
        <v>2008</v>
      </c>
    </row>
    <row r="682" spans="1:3">
      <c r="A682" t="s">
        <v>2009</v>
      </c>
      <c r="B682">
        <v>7825</v>
      </c>
      <c r="C682" t="s">
        <v>2000</v>
      </c>
    </row>
    <row r="683" spans="1:3">
      <c r="A683" t="s">
        <v>2010</v>
      </c>
      <c r="B683">
        <v>7826</v>
      </c>
      <c r="C683" t="s">
        <v>2011</v>
      </c>
    </row>
    <row r="684" spans="1:3">
      <c r="A684" t="s">
        <v>2012</v>
      </c>
      <c r="B684">
        <v>7827</v>
      </c>
      <c r="C684" t="s">
        <v>2013</v>
      </c>
    </row>
    <row r="685" spans="1:3">
      <c r="A685" t="s">
        <v>3290</v>
      </c>
      <c r="B685">
        <v>7850</v>
      </c>
      <c r="C685" t="s">
        <v>3291</v>
      </c>
    </row>
    <row r="686" spans="1:3">
      <c r="A686" t="s">
        <v>3152</v>
      </c>
      <c r="B686">
        <v>7861</v>
      </c>
      <c r="C686" t="s">
        <v>3153</v>
      </c>
    </row>
    <row r="687" spans="1:3">
      <c r="A687" t="s">
        <v>3154</v>
      </c>
      <c r="B687">
        <v>7864</v>
      </c>
      <c r="C687" t="s">
        <v>3155</v>
      </c>
    </row>
    <row r="688" spans="1:3">
      <c r="A688" t="s">
        <v>2014</v>
      </c>
      <c r="B688">
        <v>7870</v>
      </c>
      <c r="C688" t="s">
        <v>2015</v>
      </c>
    </row>
    <row r="689" spans="1:3">
      <c r="A689" t="s">
        <v>3483</v>
      </c>
      <c r="B689">
        <v>7902</v>
      </c>
      <c r="C689" t="s">
        <v>3484</v>
      </c>
    </row>
    <row r="690" spans="1:3">
      <c r="A690" t="s">
        <v>3485</v>
      </c>
      <c r="B690">
        <v>7903</v>
      </c>
      <c r="C690" t="s">
        <v>3486</v>
      </c>
    </row>
    <row r="691" spans="1:3">
      <c r="A691" t="s">
        <v>2016</v>
      </c>
      <c r="B691">
        <v>7909</v>
      </c>
      <c r="C691" t="s">
        <v>2017</v>
      </c>
    </row>
    <row r="692" spans="1:3">
      <c r="A692" t="s">
        <v>2018</v>
      </c>
      <c r="B692">
        <v>7922</v>
      </c>
      <c r="C692" t="s">
        <v>2019</v>
      </c>
    </row>
    <row r="693" spans="1:3">
      <c r="A693" t="s">
        <v>2020</v>
      </c>
      <c r="B693">
        <v>7930</v>
      </c>
      <c r="C693" t="s">
        <v>2021</v>
      </c>
    </row>
    <row r="694" spans="1:3">
      <c r="A694" t="s">
        <v>2022</v>
      </c>
      <c r="B694">
        <v>7940</v>
      </c>
      <c r="C694" t="s">
        <v>2023</v>
      </c>
    </row>
    <row r="695" spans="1:3">
      <c r="A695" t="s">
        <v>2024</v>
      </c>
      <c r="B695">
        <v>7941</v>
      </c>
      <c r="C695" t="s">
        <v>2025</v>
      </c>
    </row>
    <row r="696" spans="1:3">
      <c r="A696" t="s">
        <v>2026</v>
      </c>
      <c r="B696">
        <v>7944</v>
      </c>
      <c r="C696" t="s">
        <v>2027</v>
      </c>
    </row>
    <row r="697" spans="1:3">
      <c r="A697" t="s">
        <v>3292</v>
      </c>
      <c r="B697">
        <v>7950</v>
      </c>
      <c r="C697" t="s">
        <v>3293</v>
      </c>
    </row>
    <row r="698" spans="1:3">
      <c r="A698" t="s">
        <v>2028</v>
      </c>
      <c r="B698">
        <v>7951</v>
      </c>
      <c r="C698" t="s">
        <v>2017</v>
      </c>
    </row>
    <row r="699" spans="1:3">
      <c r="A699" t="s">
        <v>2029</v>
      </c>
      <c r="B699">
        <v>7952</v>
      </c>
      <c r="C699" t="s">
        <v>2030</v>
      </c>
    </row>
    <row r="700" spans="1:3">
      <c r="A700" t="s">
        <v>3294</v>
      </c>
      <c r="B700">
        <v>7955</v>
      </c>
      <c r="C700" t="s">
        <v>3295</v>
      </c>
    </row>
    <row r="701" spans="1:3">
      <c r="A701" t="s">
        <v>2031</v>
      </c>
      <c r="B701">
        <v>7960</v>
      </c>
      <c r="C701" t="s">
        <v>2032</v>
      </c>
    </row>
    <row r="702" spans="1:3">
      <c r="A702" t="s">
        <v>2033</v>
      </c>
      <c r="B702">
        <v>7980</v>
      </c>
      <c r="C702" t="s">
        <v>2034</v>
      </c>
    </row>
    <row r="703" spans="1:3">
      <c r="A703" t="s">
        <v>2035</v>
      </c>
      <c r="B703">
        <v>7995</v>
      </c>
      <c r="C703" t="s">
        <v>2036</v>
      </c>
    </row>
    <row r="704" spans="1:3">
      <c r="A704" t="s">
        <v>2037</v>
      </c>
      <c r="B704">
        <v>7997</v>
      </c>
      <c r="C704" t="s">
        <v>2038</v>
      </c>
    </row>
    <row r="705" spans="1:3">
      <c r="A705" t="s">
        <v>2612</v>
      </c>
      <c r="B705">
        <v>7998</v>
      </c>
      <c r="C705" t="s">
        <v>2613</v>
      </c>
    </row>
    <row r="706" spans="1:3">
      <c r="A706" t="s">
        <v>2039</v>
      </c>
      <c r="B706">
        <v>8050</v>
      </c>
      <c r="C706" t="s">
        <v>2040</v>
      </c>
    </row>
    <row r="707" spans="1:3">
      <c r="A707" t="s">
        <v>3296</v>
      </c>
      <c r="B707">
        <v>8060</v>
      </c>
      <c r="C707" t="s">
        <v>3297</v>
      </c>
    </row>
    <row r="708" spans="1:3">
      <c r="A708" t="s">
        <v>3298</v>
      </c>
      <c r="B708">
        <v>8061</v>
      </c>
      <c r="C708" t="s">
        <v>3299</v>
      </c>
    </row>
    <row r="709" spans="1:3">
      <c r="A709" t="s">
        <v>3300</v>
      </c>
      <c r="B709">
        <v>8062</v>
      </c>
      <c r="C709" t="s">
        <v>3301</v>
      </c>
    </row>
    <row r="710" spans="1:3">
      <c r="A710" t="s">
        <v>3302</v>
      </c>
      <c r="B710">
        <v>8063</v>
      </c>
      <c r="C710" t="s">
        <v>3303</v>
      </c>
    </row>
    <row r="711" spans="1:3">
      <c r="A711" t="s">
        <v>3304</v>
      </c>
      <c r="B711">
        <v>8064</v>
      </c>
      <c r="C711" t="s">
        <v>3305</v>
      </c>
    </row>
    <row r="712" spans="1:3">
      <c r="A712" t="s">
        <v>3306</v>
      </c>
      <c r="B712">
        <v>8065</v>
      </c>
      <c r="C712" t="s">
        <v>3307</v>
      </c>
    </row>
    <row r="713" spans="1:3">
      <c r="A713" t="s">
        <v>3308</v>
      </c>
      <c r="B713">
        <v>8066</v>
      </c>
      <c r="C713" t="s">
        <v>3309</v>
      </c>
    </row>
    <row r="714" spans="1:3">
      <c r="A714" t="s">
        <v>2041</v>
      </c>
      <c r="B714">
        <v>8070</v>
      </c>
      <c r="C714" t="s">
        <v>1554</v>
      </c>
    </row>
    <row r="715" spans="1:3">
      <c r="A715" t="s">
        <v>2042</v>
      </c>
      <c r="B715">
        <v>8071</v>
      </c>
      <c r="C715" t="s">
        <v>2043</v>
      </c>
    </row>
    <row r="716" spans="1:3">
      <c r="A716" t="s">
        <v>2044</v>
      </c>
      <c r="B716">
        <v>8072</v>
      </c>
      <c r="C716" t="s">
        <v>2045</v>
      </c>
    </row>
    <row r="717" spans="1:3">
      <c r="A717" t="s">
        <v>2046</v>
      </c>
      <c r="B717">
        <v>8074</v>
      </c>
      <c r="C717" t="s">
        <v>2047</v>
      </c>
    </row>
    <row r="718" spans="1:3">
      <c r="A718" t="s">
        <v>2048</v>
      </c>
      <c r="B718">
        <v>8075</v>
      </c>
      <c r="C718" t="s">
        <v>2049</v>
      </c>
    </row>
    <row r="719" spans="1:3">
      <c r="A719" t="s">
        <v>2050</v>
      </c>
      <c r="B719">
        <v>8076</v>
      </c>
      <c r="C719" t="s">
        <v>2051</v>
      </c>
    </row>
    <row r="720" spans="1:3">
      <c r="A720" t="s">
        <v>2052</v>
      </c>
      <c r="B720">
        <v>8110</v>
      </c>
      <c r="C720" t="s">
        <v>2053</v>
      </c>
    </row>
    <row r="721" spans="1:3">
      <c r="A721" t="s">
        <v>2054</v>
      </c>
      <c r="B721">
        <v>8111</v>
      </c>
      <c r="C721" t="s">
        <v>2055</v>
      </c>
    </row>
    <row r="722" spans="1:3">
      <c r="A722" t="s">
        <v>2056</v>
      </c>
      <c r="B722">
        <v>8120</v>
      </c>
      <c r="C722" t="s">
        <v>2057</v>
      </c>
    </row>
    <row r="723" spans="1:3">
      <c r="A723" t="s">
        <v>2058</v>
      </c>
      <c r="B723">
        <v>8130</v>
      </c>
      <c r="C723" t="s">
        <v>2059</v>
      </c>
    </row>
    <row r="724" spans="1:3">
      <c r="A724" t="s">
        <v>2060</v>
      </c>
      <c r="B724">
        <v>8131</v>
      </c>
      <c r="C724" t="s">
        <v>2061</v>
      </c>
    </row>
    <row r="725" spans="1:3">
      <c r="A725" t="s">
        <v>2062</v>
      </c>
      <c r="B725">
        <v>8140</v>
      </c>
      <c r="C725" t="s">
        <v>2063</v>
      </c>
    </row>
    <row r="726" spans="1:3">
      <c r="A726" t="s">
        <v>2064</v>
      </c>
      <c r="B726">
        <v>8150</v>
      </c>
      <c r="C726" t="s">
        <v>2065</v>
      </c>
    </row>
    <row r="727" spans="1:3">
      <c r="A727" t="s">
        <v>2066</v>
      </c>
      <c r="B727">
        <v>8170</v>
      </c>
      <c r="C727" t="s">
        <v>2067</v>
      </c>
    </row>
    <row r="728" spans="1:3">
      <c r="A728" t="s">
        <v>2068</v>
      </c>
      <c r="B728">
        <v>8171</v>
      </c>
      <c r="C728" t="s">
        <v>2069</v>
      </c>
    </row>
    <row r="729" spans="1:3">
      <c r="A729" t="s">
        <v>2070</v>
      </c>
      <c r="B729">
        <v>8194</v>
      </c>
      <c r="C729" t="s">
        <v>2071</v>
      </c>
    </row>
    <row r="730" spans="1:3">
      <c r="A730" t="s">
        <v>2072</v>
      </c>
      <c r="B730">
        <v>8199</v>
      </c>
      <c r="C730" t="s">
        <v>2073</v>
      </c>
    </row>
    <row r="731" spans="1:3">
      <c r="A731" t="s">
        <v>2074</v>
      </c>
      <c r="B731">
        <v>8200</v>
      </c>
      <c r="C731" t="s">
        <v>2075</v>
      </c>
    </row>
    <row r="732" spans="1:3">
      <c r="A732" t="s">
        <v>2076</v>
      </c>
      <c r="B732">
        <v>8201</v>
      </c>
      <c r="C732" t="s">
        <v>2077</v>
      </c>
    </row>
    <row r="733" spans="1:3">
      <c r="A733" t="s">
        <v>2078</v>
      </c>
      <c r="B733">
        <v>8204</v>
      </c>
      <c r="C733" t="s">
        <v>2079</v>
      </c>
    </row>
    <row r="734" spans="1:3">
      <c r="A734" t="s">
        <v>2080</v>
      </c>
      <c r="B734">
        <v>8207</v>
      </c>
      <c r="C734" t="s">
        <v>2071</v>
      </c>
    </row>
    <row r="735" spans="1:3">
      <c r="A735" t="s">
        <v>2081</v>
      </c>
      <c r="B735">
        <v>8208</v>
      </c>
      <c r="C735" t="s">
        <v>2071</v>
      </c>
    </row>
    <row r="736" spans="1:3">
      <c r="A736" t="s">
        <v>2082</v>
      </c>
      <c r="B736">
        <v>8209</v>
      </c>
      <c r="C736" t="s">
        <v>2071</v>
      </c>
    </row>
    <row r="737" spans="1:3">
      <c r="A737" t="s">
        <v>2083</v>
      </c>
      <c r="B737">
        <v>8210</v>
      </c>
      <c r="C737" t="s">
        <v>2084</v>
      </c>
    </row>
    <row r="738" spans="1:3">
      <c r="A738" t="s">
        <v>2085</v>
      </c>
      <c r="B738">
        <v>8212</v>
      </c>
      <c r="C738" t="s">
        <v>2071</v>
      </c>
    </row>
    <row r="739" spans="1:3">
      <c r="A739" t="s">
        <v>2086</v>
      </c>
      <c r="B739">
        <v>8213</v>
      </c>
      <c r="C739" t="s">
        <v>2087</v>
      </c>
    </row>
    <row r="740" spans="1:3">
      <c r="A740" t="s">
        <v>2088</v>
      </c>
      <c r="B740">
        <v>8214</v>
      </c>
      <c r="C740" t="s">
        <v>2089</v>
      </c>
    </row>
    <row r="741" spans="1:3">
      <c r="A741" t="s">
        <v>2090</v>
      </c>
      <c r="B741">
        <v>8215</v>
      </c>
      <c r="C741" t="s">
        <v>2091</v>
      </c>
    </row>
    <row r="742" spans="1:3">
      <c r="A742" t="s">
        <v>2092</v>
      </c>
      <c r="B742">
        <v>8216</v>
      </c>
      <c r="C742" t="s">
        <v>2093</v>
      </c>
    </row>
    <row r="743" spans="1:3">
      <c r="A743" t="s">
        <v>2094</v>
      </c>
      <c r="B743">
        <v>8218</v>
      </c>
      <c r="C743" t="s">
        <v>2071</v>
      </c>
    </row>
    <row r="744" spans="1:3">
      <c r="A744" t="s">
        <v>2095</v>
      </c>
      <c r="B744">
        <v>8219</v>
      </c>
      <c r="C744" t="s">
        <v>2096</v>
      </c>
    </row>
    <row r="745" spans="1:3">
      <c r="A745" t="s">
        <v>3310</v>
      </c>
      <c r="B745">
        <v>8220</v>
      </c>
      <c r="C745" t="s">
        <v>2071</v>
      </c>
    </row>
    <row r="746" spans="1:3">
      <c r="A746" t="s">
        <v>2097</v>
      </c>
      <c r="B746">
        <v>8221</v>
      </c>
      <c r="C746" t="s">
        <v>2071</v>
      </c>
    </row>
    <row r="747" spans="1:3">
      <c r="A747" t="s">
        <v>2098</v>
      </c>
      <c r="B747">
        <v>8236</v>
      </c>
      <c r="C747" t="s">
        <v>2099</v>
      </c>
    </row>
    <row r="748" spans="1:3">
      <c r="A748" t="s">
        <v>2100</v>
      </c>
      <c r="B748">
        <v>8238</v>
      </c>
      <c r="C748" t="s">
        <v>2071</v>
      </c>
    </row>
    <row r="749" spans="1:3">
      <c r="A749" t="s">
        <v>2101</v>
      </c>
      <c r="B749">
        <v>8239</v>
      </c>
      <c r="C749" t="s">
        <v>2071</v>
      </c>
    </row>
    <row r="750" spans="1:3">
      <c r="A750" t="s">
        <v>2102</v>
      </c>
      <c r="B750">
        <v>8242</v>
      </c>
      <c r="C750" t="s">
        <v>2103</v>
      </c>
    </row>
    <row r="751" spans="1:3">
      <c r="A751" t="s">
        <v>2104</v>
      </c>
      <c r="B751">
        <v>8247</v>
      </c>
      <c r="C751" t="s">
        <v>2071</v>
      </c>
    </row>
    <row r="752" spans="1:3">
      <c r="A752" t="s">
        <v>2105</v>
      </c>
      <c r="B752">
        <v>8260</v>
      </c>
      <c r="C752" t="s">
        <v>2106</v>
      </c>
    </row>
    <row r="753" spans="1:3">
      <c r="A753" t="s">
        <v>2107</v>
      </c>
      <c r="B753">
        <v>8268</v>
      </c>
      <c r="C753" t="s">
        <v>2108</v>
      </c>
    </row>
    <row r="754" spans="1:3">
      <c r="A754" t="s">
        <v>2109</v>
      </c>
      <c r="B754">
        <v>8720</v>
      </c>
      <c r="C754" t="s">
        <v>2110</v>
      </c>
    </row>
    <row r="755" spans="1:3">
      <c r="A755" t="s">
        <v>2111</v>
      </c>
      <c r="B755">
        <v>8777</v>
      </c>
      <c r="C755" t="s">
        <v>2071</v>
      </c>
    </row>
    <row r="756" spans="1:3">
      <c r="A756" t="s">
        <v>2112</v>
      </c>
      <c r="B756">
        <v>8778</v>
      </c>
      <c r="C756" t="s">
        <v>2071</v>
      </c>
    </row>
    <row r="757" spans="1:3">
      <c r="A757" t="s">
        <v>2113</v>
      </c>
      <c r="B757">
        <v>8799</v>
      </c>
      <c r="C757" t="s">
        <v>2071</v>
      </c>
    </row>
    <row r="758" spans="1:3">
      <c r="A758" t="s">
        <v>2114</v>
      </c>
      <c r="B758">
        <v>8937</v>
      </c>
      <c r="C758" t="s">
        <v>2115</v>
      </c>
    </row>
    <row r="759" spans="1:3">
      <c r="A759" t="s">
        <v>2116</v>
      </c>
      <c r="B759">
        <v>8949</v>
      </c>
      <c r="C759" t="s">
        <v>2117</v>
      </c>
    </row>
    <row r="760" spans="1:3">
      <c r="A760" t="s">
        <v>2118</v>
      </c>
      <c r="B760">
        <v>8951</v>
      </c>
      <c r="C760" t="s">
        <v>2119</v>
      </c>
    </row>
    <row r="761" spans="1:3">
      <c r="A761" t="s">
        <v>2120</v>
      </c>
      <c r="B761">
        <v>8994</v>
      </c>
      <c r="C761" t="s">
        <v>2121</v>
      </c>
    </row>
    <row r="762" spans="1:3">
      <c r="A762" t="s">
        <v>2614</v>
      </c>
      <c r="B762">
        <v>8998</v>
      </c>
      <c r="C762" t="s">
        <v>2615</v>
      </c>
    </row>
    <row r="763" spans="1:3">
      <c r="A763" t="s">
        <v>2122</v>
      </c>
      <c r="B763">
        <v>9010</v>
      </c>
      <c r="C763" t="s">
        <v>2123</v>
      </c>
    </row>
    <row r="764" spans="1:3">
      <c r="A764" t="s">
        <v>2124</v>
      </c>
      <c r="B764">
        <v>9011</v>
      </c>
      <c r="C764" t="s">
        <v>2125</v>
      </c>
    </row>
    <row r="765" spans="1:3">
      <c r="A765" t="s">
        <v>2126</v>
      </c>
      <c r="B765">
        <v>9012</v>
      </c>
      <c r="C765" t="s">
        <v>2127</v>
      </c>
    </row>
    <row r="766" spans="1:3">
      <c r="A766" t="s">
        <v>2128</v>
      </c>
      <c r="B766">
        <v>9013</v>
      </c>
      <c r="C766" t="s">
        <v>2129</v>
      </c>
    </row>
    <row r="767" spans="1:3">
      <c r="A767" t="s">
        <v>2130</v>
      </c>
      <c r="B767">
        <v>9014</v>
      </c>
      <c r="C767" t="s">
        <v>2131</v>
      </c>
    </row>
    <row r="768" spans="1:3">
      <c r="A768" t="s">
        <v>3311</v>
      </c>
      <c r="B768">
        <v>9015</v>
      </c>
      <c r="C768" t="s">
        <v>3312</v>
      </c>
    </row>
    <row r="769" spans="1:3">
      <c r="A769" t="s">
        <v>2132</v>
      </c>
      <c r="B769">
        <v>9016</v>
      </c>
      <c r="C769" t="s">
        <v>2133</v>
      </c>
    </row>
    <row r="770" spans="1:3">
      <c r="A770" t="s">
        <v>2134</v>
      </c>
      <c r="B770">
        <v>9017</v>
      </c>
      <c r="C770" t="s">
        <v>2135</v>
      </c>
    </row>
    <row r="771" spans="1:3">
      <c r="A771" t="s">
        <v>2136</v>
      </c>
      <c r="B771">
        <v>9018</v>
      </c>
      <c r="C771" t="s">
        <v>2137</v>
      </c>
    </row>
    <row r="772" spans="1:3">
      <c r="A772" t="s">
        <v>2866</v>
      </c>
      <c r="B772">
        <v>9019</v>
      </c>
      <c r="C772" t="s">
        <v>2867</v>
      </c>
    </row>
    <row r="773" spans="1:3">
      <c r="A773" t="s">
        <v>2138</v>
      </c>
      <c r="B773">
        <v>9020</v>
      </c>
      <c r="C773" t="s">
        <v>2139</v>
      </c>
    </row>
    <row r="774" spans="1:3">
      <c r="A774" t="s">
        <v>2140</v>
      </c>
      <c r="B774">
        <v>9021</v>
      </c>
      <c r="C774" t="s">
        <v>2141</v>
      </c>
    </row>
    <row r="775" spans="1:3">
      <c r="A775" t="s">
        <v>2142</v>
      </c>
      <c r="B775">
        <v>9022</v>
      </c>
      <c r="C775" t="s">
        <v>2143</v>
      </c>
    </row>
    <row r="776" spans="1:3">
      <c r="A776" t="s">
        <v>2144</v>
      </c>
      <c r="B776">
        <v>9023</v>
      </c>
      <c r="C776" t="s">
        <v>2145</v>
      </c>
    </row>
    <row r="777" spans="1:3">
      <c r="A777" t="s">
        <v>2146</v>
      </c>
      <c r="B777">
        <v>9024</v>
      </c>
      <c r="C777" t="s">
        <v>2147</v>
      </c>
    </row>
    <row r="778" spans="1:3">
      <c r="A778" t="s">
        <v>2974</v>
      </c>
      <c r="B778">
        <v>9025</v>
      </c>
      <c r="C778" t="s">
        <v>2975</v>
      </c>
    </row>
    <row r="779" spans="1:3">
      <c r="A779" t="s">
        <v>2976</v>
      </c>
      <c r="B779">
        <v>9026</v>
      </c>
      <c r="C779" t="s">
        <v>2977</v>
      </c>
    </row>
    <row r="780" spans="1:3">
      <c r="A780" t="s">
        <v>2978</v>
      </c>
      <c r="B780">
        <v>9027</v>
      </c>
      <c r="C780" t="s">
        <v>2979</v>
      </c>
    </row>
    <row r="781" spans="1:3">
      <c r="A781" t="s">
        <v>2868</v>
      </c>
      <c r="B781">
        <v>9028</v>
      </c>
      <c r="C781" t="s">
        <v>2869</v>
      </c>
    </row>
    <row r="782" spans="1:3">
      <c r="A782" t="s">
        <v>3156</v>
      </c>
      <c r="B782">
        <v>9029</v>
      </c>
      <c r="C782" t="s">
        <v>3157</v>
      </c>
    </row>
    <row r="783" spans="1:3">
      <c r="A783" t="s">
        <v>2148</v>
      </c>
      <c r="B783">
        <v>9030</v>
      </c>
      <c r="C783" t="s">
        <v>2149</v>
      </c>
    </row>
    <row r="784" spans="1:3">
      <c r="A784" t="s">
        <v>2150</v>
      </c>
      <c r="B784">
        <v>9031</v>
      </c>
      <c r="C784" t="s">
        <v>2151</v>
      </c>
    </row>
    <row r="785" spans="1:3">
      <c r="A785" t="s">
        <v>2152</v>
      </c>
      <c r="B785">
        <v>9032</v>
      </c>
      <c r="C785" t="s">
        <v>2153</v>
      </c>
    </row>
    <row r="786" spans="1:3">
      <c r="A786" t="s">
        <v>2154</v>
      </c>
      <c r="B786">
        <v>9033</v>
      </c>
      <c r="C786" t="s">
        <v>2155</v>
      </c>
    </row>
    <row r="787" spans="1:3">
      <c r="A787" t="s">
        <v>2156</v>
      </c>
      <c r="B787">
        <v>9034</v>
      </c>
      <c r="C787" t="s">
        <v>2157</v>
      </c>
    </row>
    <row r="788" spans="1:3">
      <c r="A788" t="s">
        <v>2158</v>
      </c>
      <c r="B788">
        <v>9035</v>
      </c>
      <c r="C788" t="s">
        <v>2159</v>
      </c>
    </row>
    <row r="789" spans="1:3">
      <c r="A789" t="s">
        <v>2160</v>
      </c>
      <c r="B789">
        <v>9036</v>
      </c>
      <c r="C789" t="s">
        <v>2161</v>
      </c>
    </row>
    <row r="790" spans="1:3">
      <c r="A790" t="s">
        <v>2980</v>
      </c>
      <c r="B790">
        <v>9037</v>
      </c>
      <c r="C790" t="s">
        <v>2981</v>
      </c>
    </row>
    <row r="791" spans="1:3">
      <c r="A791" t="s">
        <v>2982</v>
      </c>
      <c r="B791">
        <v>9038</v>
      </c>
      <c r="C791" t="s">
        <v>2983</v>
      </c>
    </row>
    <row r="792" spans="1:3">
      <c r="A792" t="s">
        <v>2984</v>
      </c>
      <c r="B792">
        <v>9039</v>
      </c>
      <c r="C792" t="s">
        <v>2985</v>
      </c>
    </row>
    <row r="793" spans="1:3">
      <c r="A793" t="s">
        <v>2162</v>
      </c>
      <c r="B793">
        <v>9040</v>
      </c>
      <c r="C793" t="s">
        <v>2163</v>
      </c>
    </row>
    <row r="794" spans="1:3">
      <c r="A794" t="s">
        <v>2164</v>
      </c>
      <c r="B794">
        <v>9041</v>
      </c>
      <c r="C794" t="s">
        <v>2165</v>
      </c>
    </row>
    <row r="795" spans="1:3">
      <c r="A795" t="s">
        <v>2166</v>
      </c>
      <c r="B795">
        <v>9042</v>
      </c>
      <c r="C795" t="s">
        <v>2167</v>
      </c>
    </row>
    <row r="796" spans="1:3">
      <c r="A796" t="s">
        <v>2168</v>
      </c>
      <c r="B796">
        <v>9043</v>
      </c>
      <c r="C796" t="s">
        <v>2169</v>
      </c>
    </row>
    <row r="797" spans="1:3">
      <c r="A797" t="s">
        <v>2170</v>
      </c>
      <c r="B797">
        <v>9044</v>
      </c>
      <c r="C797" t="s">
        <v>2171</v>
      </c>
    </row>
    <row r="798" spans="1:3">
      <c r="A798" t="s">
        <v>2870</v>
      </c>
      <c r="B798">
        <v>9045</v>
      </c>
      <c r="C798" t="s">
        <v>2871</v>
      </c>
    </row>
    <row r="799" spans="1:3">
      <c r="A799" t="s">
        <v>2986</v>
      </c>
      <c r="B799">
        <v>9046</v>
      </c>
      <c r="C799" t="s">
        <v>2987</v>
      </c>
    </row>
    <row r="800" spans="1:3">
      <c r="A800" t="s">
        <v>3158</v>
      </c>
      <c r="B800">
        <v>9047</v>
      </c>
      <c r="C800" t="s">
        <v>3159</v>
      </c>
    </row>
    <row r="801" spans="1:3">
      <c r="A801" t="s">
        <v>3160</v>
      </c>
      <c r="B801">
        <v>9048</v>
      </c>
      <c r="C801" t="s">
        <v>3161</v>
      </c>
    </row>
    <row r="802" spans="1:3">
      <c r="A802" t="s">
        <v>3313</v>
      </c>
      <c r="B802">
        <v>9049</v>
      </c>
      <c r="C802" t="s">
        <v>3314</v>
      </c>
    </row>
    <row r="803" spans="1:3">
      <c r="A803" t="s">
        <v>2172</v>
      </c>
      <c r="B803">
        <v>9050</v>
      </c>
      <c r="C803" t="s">
        <v>2173</v>
      </c>
    </row>
    <row r="804" spans="1:3">
      <c r="A804" t="s">
        <v>2174</v>
      </c>
      <c r="B804">
        <v>9051</v>
      </c>
      <c r="C804" t="s">
        <v>2175</v>
      </c>
    </row>
    <row r="805" spans="1:3">
      <c r="A805" t="s">
        <v>2176</v>
      </c>
      <c r="B805">
        <v>9052</v>
      </c>
      <c r="C805" t="s">
        <v>2177</v>
      </c>
    </row>
    <row r="806" spans="1:3">
      <c r="A806" t="s">
        <v>2178</v>
      </c>
      <c r="B806">
        <v>9053</v>
      </c>
      <c r="C806" t="s">
        <v>2179</v>
      </c>
    </row>
    <row r="807" spans="1:3">
      <c r="A807" t="s">
        <v>2180</v>
      </c>
      <c r="B807">
        <v>9054</v>
      </c>
      <c r="C807" t="s">
        <v>2181</v>
      </c>
    </row>
    <row r="808" spans="1:3">
      <c r="A808" t="s">
        <v>2182</v>
      </c>
      <c r="B808">
        <v>9055</v>
      </c>
      <c r="C808" t="s">
        <v>2183</v>
      </c>
    </row>
    <row r="809" spans="1:3">
      <c r="A809" t="s">
        <v>2988</v>
      </c>
      <c r="B809">
        <v>9056</v>
      </c>
      <c r="C809" t="s">
        <v>2989</v>
      </c>
    </row>
    <row r="810" spans="1:3">
      <c r="A810" t="s">
        <v>3162</v>
      </c>
      <c r="B810">
        <v>9057</v>
      </c>
      <c r="C810" t="s">
        <v>3163</v>
      </c>
    </row>
    <row r="811" spans="1:3">
      <c r="A811" t="s">
        <v>3315</v>
      </c>
      <c r="B811">
        <v>9058</v>
      </c>
      <c r="C811" t="s">
        <v>3316</v>
      </c>
    </row>
    <row r="812" spans="1:3">
      <c r="A812" t="s">
        <v>3317</v>
      </c>
      <c r="B812">
        <v>9059</v>
      </c>
      <c r="C812" t="s">
        <v>3318</v>
      </c>
    </row>
    <row r="813" spans="1:3">
      <c r="A813" t="s">
        <v>2184</v>
      </c>
      <c r="B813">
        <v>9060</v>
      </c>
      <c r="C813" t="s">
        <v>2185</v>
      </c>
    </row>
    <row r="814" spans="1:3">
      <c r="A814" t="s">
        <v>2186</v>
      </c>
      <c r="B814">
        <v>9061</v>
      </c>
      <c r="C814" t="s">
        <v>2187</v>
      </c>
    </row>
    <row r="815" spans="1:3">
      <c r="A815" t="s">
        <v>3319</v>
      </c>
      <c r="B815">
        <v>9062</v>
      </c>
      <c r="C815" t="s">
        <v>3320</v>
      </c>
    </row>
    <row r="816" spans="1:3">
      <c r="A816" t="s">
        <v>3321</v>
      </c>
      <c r="B816">
        <v>9063</v>
      </c>
      <c r="C816" t="s">
        <v>3273</v>
      </c>
    </row>
    <row r="817" spans="1:3">
      <c r="A817" t="s">
        <v>3322</v>
      </c>
      <c r="B817">
        <v>9064</v>
      </c>
      <c r="C817" t="s">
        <v>3323</v>
      </c>
    </row>
    <row r="818" spans="1:3">
      <c r="A818" t="s">
        <v>3487</v>
      </c>
      <c r="B818">
        <v>9065</v>
      </c>
      <c r="C818" t="s">
        <v>3488</v>
      </c>
    </row>
    <row r="819" spans="1:3">
      <c r="A819" t="s">
        <v>3489</v>
      </c>
      <c r="B819">
        <v>9068</v>
      </c>
      <c r="C819" t="s">
        <v>3490</v>
      </c>
    </row>
    <row r="820" spans="1:3">
      <c r="A820" t="s">
        <v>2188</v>
      </c>
      <c r="B820">
        <v>9070</v>
      </c>
      <c r="C820" t="s">
        <v>2189</v>
      </c>
    </row>
    <row r="821" spans="1:3">
      <c r="A821" t="s">
        <v>3164</v>
      </c>
      <c r="B821">
        <v>9071</v>
      </c>
      <c r="C821" t="s">
        <v>3165</v>
      </c>
    </row>
    <row r="822" spans="1:3">
      <c r="A822" t="s">
        <v>3166</v>
      </c>
      <c r="B822">
        <v>9072</v>
      </c>
      <c r="C822" t="s">
        <v>3167</v>
      </c>
    </row>
    <row r="823" spans="1:3">
      <c r="A823" t="s">
        <v>3324</v>
      </c>
      <c r="B823">
        <v>9073</v>
      </c>
      <c r="C823" t="s">
        <v>3325</v>
      </c>
    </row>
    <row r="824" spans="1:3">
      <c r="A824" t="s">
        <v>3491</v>
      </c>
      <c r="B824">
        <v>9074</v>
      </c>
      <c r="C824" t="s">
        <v>3472</v>
      </c>
    </row>
    <row r="825" spans="1:3">
      <c r="A825" t="s">
        <v>3492</v>
      </c>
      <c r="B825">
        <v>9075</v>
      </c>
      <c r="C825" t="s">
        <v>3493</v>
      </c>
    </row>
    <row r="826" spans="1:3">
      <c r="A826" t="s">
        <v>2190</v>
      </c>
      <c r="B826">
        <v>9080</v>
      </c>
      <c r="C826" t="s">
        <v>2191</v>
      </c>
    </row>
    <row r="827" spans="1:3">
      <c r="A827" t="s">
        <v>2192</v>
      </c>
      <c r="B827">
        <v>9081</v>
      </c>
      <c r="C827" t="s">
        <v>2193</v>
      </c>
    </row>
    <row r="828" spans="1:3">
      <c r="A828" t="s">
        <v>2194</v>
      </c>
      <c r="B828">
        <v>9082</v>
      </c>
      <c r="C828" t="s">
        <v>2195</v>
      </c>
    </row>
    <row r="829" spans="1:3">
      <c r="A829" t="s">
        <v>3494</v>
      </c>
      <c r="B829">
        <v>9083</v>
      </c>
      <c r="C829" t="s">
        <v>3495</v>
      </c>
    </row>
    <row r="830" spans="1:3">
      <c r="A830" t="s">
        <v>2196</v>
      </c>
      <c r="B830">
        <v>9090</v>
      </c>
      <c r="C830" t="s">
        <v>2197</v>
      </c>
    </row>
    <row r="831" spans="1:3">
      <c r="A831" t="s">
        <v>2198</v>
      </c>
      <c r="B831">
        <v>9091</v>
      </c>
      <c r="C831" t="s">
        <v>2199</v>
      </c>
    </row>
    <row r="832" spans="1:3">
      <c r="A832" t="s">
        <v>2200</v>
      </c>
      <c r="B832">
        <v>9092</v>
      </c>
      <c r="C832" t="s">
        <v>2201</v>
      </c>
    </row>
    <row r="833" spans="1:3">
      <c r="A833" t="s">
        <v>3496</v>
      </c>
      <c r="B833">
        <v>9093</v>
      </c>
      <c r="C833" t="s">
        <v>3474</v>
      </c>
    </row>
    <row r="834" spans="1:3">
      <c r="A834" t="s">
        <v>2202</v>
      </c>
      <c r="B834">
        <v>9094</v>
      </c>
      <c r="C834" t="s">
        <v>2203</v>
      </c>
    </row>
    <row r="835" spans="1:3">
      <c r="A835" t="s">
        <v>2204</v>
      </c>
      <c r="B835">
        <v>9095</v>
      </c>
      <c r="C835" t="s">
        <v>2205</v>
      </c>
    </row>
    <row r="836" spans="1:3">
      <c r="A836" t="s">
        <v>3497</v>
      </c>
      <c r="B836">
        <v>9096</v>
      </c>
      <c r="C836" t="s">
        <v>3498</v>
      </c>
    </row>
    <row r="837" spans="1:3">
      <c r="A837" t="s">
        <v>3499</v>
      </c>
      <c r="B837">
        <v>9097</v>
      </c>
      <c r="C837" t="s">
        <v>3500</v>
      </c>
    </row>
    <row r="838" spans="1:3">
      <c r="A838" t="s">
        <v>2206</v>
      </c>
      <c r="B838">
        <v>9100</v>
      </c>
      <c r="C838" t="s">
        <v>2207</v>
      </c>
    </row>
    <row r="839" spans="1:3">
      <c r="A839" t="s">
        <v>2208</v>
      </c>
      <c r="B839">
        <v>9101</v>
      </c>
      <c r="C839" t="s">
        <v>2209</v>
      </c>
    </row>
    <row r="840" spans="1:3">
      <c r="A840" t="s">
        <v>2210</v>
      </c>
      <c r="B840">
        <v>9102</v>
      </c>
      <c r="C840" t="s">
        <v>2211</v>
      </c>
    </row>
    <row r="841" spans="1:3">
      <c r="A841" t="s">
        <v>2212</v>
      </c>
      <c r="B841">
        <v>9103</v>
      </c>
      <c r="C841" t="s">
        <v>2213</v>
      </c>
    </row>
    <row r="842" spans="1:3">
      <c r="A842" t="s">
        <v>2214</v>
      </c>
      <c r="B842">
        <v>9104</v>
      </c>
      <c r="C842" t="s">
        <v>2215</v>
      </c>
    </row>
    <row r="843" spans="1:3">
      <c r="A843" t="s">
        <v>2216</v>
      </c>
      <c r="B843">
        <v>9105</v>
      </c>
      <c r="C843" t="s">
        <v>2217</v>
      </c>
    </row>
    <row r="844" spans="1:3">
      <c r="A844" t="s">
        <v>2218</v>
      </c>
      <c r="B844">
        <v>9106</v>
      </c>
      <c r="C844" t="s">
        <v>2219</v>
      </c>
    </row>
    <row r="845" spans="1:3">
      <c r="A845" t="s">
        <v>2220</v>
      </c>
      <c r="B845">
        <v>9107</v>
      </c>
      <c r="C845" t="s">
        <v>2221</v>
      </c>
    </row>
    <row r="846" spans="1:3">
      <c r="A846" t="s">
        <v>2222</v>
      </c>
      <c r="B846">
        <v>9110</v>
      </c>
      <c r="C846" t="s">
        <v>2223</v>
      </c>
    </row>
    <row r="847" spans="1:3">
      <c r="A847" t="s">
        <v>2224</v>
      </c>
      <c r="B847">
        <v>9112</v>
      </c>
      <c r="C847" t="s">
        <v>2225</v>
      </c>
    </row>
    <row r="848" spans="1:3">
      <c r="A848" t="s">
        <v>2226</v>
      </c>
      <c r="B848">
        <v>9113</v>
      </c>
      <c r="C848" t="s">
        <v>2227</v>
      </c>
    </row>
    <row r="849" spans="1:3">
      <c r="A849" t="s">
        <v>2228</v>
      </c>
      <c r="B849">
        <v>9114</v>
      </c>
      <c r="C849" t="s">
        <v>2229</v>
      </c>
    </row>
    <row r="850" spans="1:3">
      <c r="A850" t="s">
        <v>2230</v>
      </c>
      <c r="B850">
        <v>9117</v>
      </c>
      <c r="C850" t="s">
        <v>2231</v>
      </c>
    </row>
    <row r="851" spans="1:3">
      <c r="A851" t="s">
        <v>2990</v>
      </c>
      <c r="B851">
        <v>9119</v>
      </c>
      <c r="C851" t="s">
        <v>2991</v>
      </c>
    </row>
    <row r="852" spans="1:3">
      <c r="A852" t="s">
        <v>2232</v>
      </c>
      <c r="B852">
        <v>9120</v>
      </c>
      <c r="C852" t="s">
        <v>2233</v>
      </c>
    </row>
    <row r="853" spans="1:3">
      <c r="A853" t="s">
        <v>2234</v>
      </c>
      <c r="B853">
        <v>9121</v>
      </c>
      <c r="C853" t="s">
        <v>2235</v>
      </c>
    </row>
    <row r="854" spans="1:3">
      <c r="A854" t="s">
        <v>2236</v>
      </c>
      <c r="B854">
        <v>9130</v>
      </c>
      <c r="C854" t="s">
        <v>2237</v>
      </c>
    </row>
    <row r="855" spans="1:3">
      <c r="A855" t="s">
        <v>2238</v>
      </c>
      <c r="B855">
        <v>9131</v>
      </c>
      <c r="C855" t="s">
        <v>2239</v>
      </c>
    </row>
    <row r="856" spans="1:3">
      <c r="A856" t="s">
        <v>2240</v>
      </c>
      <c r="B856">
        <v>9140</v>
      </c>
      <c r="C856" t="s">
        <v>2241</v>
      </c>
    </row>
    <row r="857" spans="1:3">
      <c r="A857" t="s">
        <v>2242</v>
      </c>
      <c r="B857">
        <v>9141</v>
      </c>
      <c r="C857" t="s">
        <v>2243</v>
      </c>
    </row>
    <row r="858" spans="1:3">
      <c r="A858" t="s">
        <v>2244</v>
      </c>
      <c r="B858">
        <v>9142</v>
      </c>
      <c r="C858" t="s">
        <v>2245</v>
      </c>
    </row>
    <row r="859" spans="1:3">
      <c r="A859" t="s">
        <v>2246</v>
      </c>
      <c r="B859">
        <v>9143</v>
      </c>
      <c r="C859" t="s">
        <v>2247</v>
      </c>
    </row>
    <row r="860" spans="1:3">
      <c r="A860" t="s">
        <v>2248</v>
      </c>
      <c r="B860">
        <v>9150</v>
      </c>
      <c r="C860" t="s">
        <v>2249</v>
      </c>
    </row>
    <row r="861" spans="1:3">
      <c r="A861" t="s">
        <v>2250</v>
      </c>
      <c r="B861">
        <v>9151</v>
      </c>
      <c r="C861" t="s">
        <v>2251</v>
      </c>
    </row>
    <row r="862" spans="1:3">
      <c r="A862" t="s">
        <v>2252</v>
      </c>
      <c r="B862">
        <v>9154</v>
      </c>
      <c r="C862" t="s">
        <v>2253</v>
      </c>
    </row>
    <row r="863" spans="1:3">
      <c r="A863" t="s">
        <v>2254</v>
      </c>
      <c r="B863">
        <v>9155</v>
      </c>
      <c r="C863" t="s">
        <v>2255</v>
      </c>
    </row>
    <row r="864" spans="1:3">
      <c r="A864" t="s">
        <v>2256</v>
      </c>
      <c r="B864">
        <v>9156</v>
      </c>
      <c r="C864" t="s">
        <v>2257</v>
      </c>
    </row>
    <row r="865" spans="1:3">
      <c r="A865" t="s">
        <v>2732</v>
      </c>
      <c r="B865">
        <v>9159</v>
      </c>
      <c r="C865" t="s">
        <v>2733</v>
      </c>
    </row>
    <row r="866" spans="1:3">
      <c r="A866" t="s">
        <v>2258</v>
      </c>
      <c r="B866">
        <v>9160</v>
      </c>
      <c r="C866" t="s">
        <v>2259</v>
      </c>
    </row>
    <row r="867" spans="1:3">
      <c r="A867" t="s">
        <v>2260</v>
      </c>
      <c r="B867">
        <v>9161</v>
      </c>
      <c r="C867" t="s">
        <v>2261</v>
      </c>
    </row>
    <row r="868" spans="1:3">
      <c r="A868" t="s">
        <v>2262</v>
      </c>
      <c r="B868">
        <v>9163</v>
      </c>
      <c r="C868" t="s">
        <v>2263</v>
      </c>
    </row>
    <row r="869" spans="1:3">
      <c r="A869" t="s">
        <v>2264</v>
      </c>
      <c r="B869">
        <v>9166</v>
      </c>
      <c r="C869" t="s">
        <v>2265</v>
      </c>
    </row>
    <row r="870" spans="1:3">
      <c r="A870" t="s">
        <v>2266</v>
      </c>
      <c r="B870">
        <v>9168</v>
      </c>
      <c r="C870" t="s">
        <v>2267</v>
      </c>
    </row>
    <row r="871" spans="1:3">
      <c r="A871" t="s">
        <v>2616</v>
      </c>
      <c r="B871">
        <v>9170</v>
      </c>
      <c r="C871" t="s">
        <v>2617</v>
      </c>
    </row>
    <row r="872" spans="1:3">
      <c r="A872" t="s">
        <v>2992</v>
      </c>
      <c r="B872">
        <v>9172</v>
      </c>
      <c r="C872" t="s">
        <v>2993</v>
      </c>
    </row>
    <row r="873" spans="1:3">
      <c r="A873" t="s">
        <v>2268</v>
      </c>
      <c r="B873">
        <v>9180</v>
      </c>
      <c r="C873" t="s">
        <v>2269</v>
      </c>
    </row>
    <row r="874" spans="1:3">
      <c r="A874" t="s">
        <v>2270</v>
      </c>
      <c r="B874">
        <v>9190</v>
      </c>
      <c r="C874" t="s">
        <v>2271</v>
      </c>
    </row>
    <row r="875" spans="1:3">
      <c r="A875" t="s">
        <v>2272</v>
      </c>
      <c r="B875">
        <v>9191</v>
      </c>
      <c r="C875" t="s">
        <v>2273</v>
      </c>
    </row>
    <row r="876" spans="1:3">
      <c r="A876" t="s">
        <v>2274</v>
      </c>
      <c r="B876">
        <v>9194</v>
      </c>
      <c r="C876" t="s">
        <v>2275</v>
      </c>
    </row>
    <row r="877" spans="1:3">
      <c r="A877" t="s">
        <v>2276</v>
      </c>
      <c r="B877">
        <v>9199</v>
      </c>
      <c r="C877" t="s">
        <v>2277</v>
      </c>
    </row>
    <row r="878" spans="1:3">
      <c r="A878" t="s">
        <v>2278</v>
      </c>
      <c r="B878">
        <v>9200</v>
      </c>
      <c r="C878" t="s">
        <v>2279</v>
      </c>
    </row>
    <row r="879" spans="1:3">
      <c r="A879" t="s">
        <v>2280</v>
      </c>
      <c r="B879">
        <v>9201</v>
      </c>
      <c r="C879" t="s">
        <v>2281</v>
      </c>
    </row>
    <row r="880" spans="1:3">
      <c r="A880" t="s">
        <v>2282</v>
      </c>
      <c r="B880">
        <v>9202</v>
      </c>
      <c r="C880" t="s">
        <v>2283</v>
      </c>
    </row>
    <row r="881" spans="1:3">
      <c r="A881" t="s">
        <v>2872</v>
      </c>
      <c r="B881">
        <v>9210</v>
      </c>
      <c r="C881" t="s">
        <v>2873</v>
      </c>
    </row>
    <row r="882" spans="1:3">
      <c r="A882" t="s">
        <v>2284</v>
      </c>
      <c r="B882">
        <v>9220</v>
      </c>
      <c r="C882" t="s">
        <v>2285</v>
      </c>
    </row>
    <row r="883" spans="1:3">
      <c r="A883" t="s">
        <v>2286</v>
      </c>
      <c r="B883">
        <v>9221</v>
      </c>
      <c r="C883" t="s">
        <v>2287</v>
      </c>
    </row>
    <row r="884" spans="1:3">
      <c r="A884" t="s">
        <v>2288</v>
      </c>
      <c r="B884">
        <v>9222</v>
      </c>
      <c r="C884" t="s">
        <v>2289</v>
      </c>
    </row>
    <row r="885" spans="1:3">
      <c r="A885" t="s">
        <v>2290</v>
      </c>
      <c r="B885">
        <v>9223</v>
      </c>
      <c r="C885" t="s">
        <v>2291</v>
      </c>
    </row>
    <row r="886" spans="1:3">
      <c r="A886" t="s">
        <v>2292</v>
      </c>
      <c r="B886">
        <v>9224</v>
      </c>
      <c r="C886" t="s">
        <v>2293</v>
      </c>
    </row>
    <row r="887" spans="1:3">
      <c r="A887" t="s">
        <v>2294</v>
      </c>
      <c r="B887">
        <v>9225</v>
      </c>
      <c r="C887" t="s">
        <v>2295</v>
      </c>
    </row>
    <row r="888" spans="1:3">
      <c r="A888" t="s">
        <v>2296</v>
      </c>
      <c r="B888">
        <v>9226</v>
      </c>
      <c r="C888" t="s">
        <v>2297</v>
      </c>
    </row>
    <row r="889" spans="1:3">
      <c r="A889" t="s">
        <v>2298</v>
      </c>
      <c r="B889">
        <v>9227</v>
      </c>
      <c r="C889" t="s">
        <v>2299</v>
      </c>
    </row>
    <row r="890" spans="1:3">
      <c r="A890" t="s">
        <v>2300</v>
      </c>
      <c r="B890">
        <v>9228</v>
      </c>
      <c r="C890" t="s">
        <v>2301</v>
      </c>
    </row>
    <row r="891" spans="1:3">
      <c r="A891" t="s">
        <v>2302</v>
      </c>
      <c r="B891">
        <v>9240</v>
      </c>
      <c r="C891" t="s">
        <v>2303</v>
      </c>
    </row>
    <row r="892" spans="1:3">
      <c r="A892" t="s">
        <v>2304</v>
      </c>
      <c r="B892">
        <v>9250</v>
      </c>
      <c r="C892" t="s">
        <v>2305</v>
      </c>
    </row>
    <row r="893" spans="1:3">
      <c r="A893" t="s">
        <v>2306</v>
      </c>
      <c r="B893">
        <v>9251</v>
      </c>
      <c r="C893" t="s">
        <v>2307</v>
      </c>
    </row>
    <row r="894" spans="1:3">
      <c r="A894" t="s">
        <v>2308</v>
      </c>
      <c r="B894">
        <v>9253</v>
      </c>
      <c r="C894" t="s">
        <v>2309</v>
      </c>
    </row>
    <row r="895" spans="1:3">
      <c r="A895" t="s">
        <v>2310</v>
      </c>
      <c r="B895">
        <v>9254</v>
      </c>
      <c r="C895" t="s">
        <v>2311</v>
      </c>
    </row>
    <row r="896" spans="1:3">
      <c r="A896" t="s">
        <v>2312</v>
      </c>
      <c r="B896">
        <v>9255</v>
      </c>
      <c r="C896" t="s">
        <v>2313</v>
      </c>
    </row>
    <row r="897" spans="1:3">
      <c r="A897" t="s">
        <v>2314</v>
      </c>
      <c r="B897">
        <v>9256</v>
      </c>
      <c r="C897" t="s">
        <v>2315</v>
      </c>
    </row>
    <row r="898" spans="1:3">
      <c r="A898" t="s">
        <v>2316</v>
      </c>
      <c r="B898">
        <v>9260</v>
      </c>
      <c r="C898" t="s">
        <v>2317</v>
      </c>
    </row>
    <row r="899" spans="1:3">
      <c r="A899" t="s">
        <v>2318</v>
      </c>
      <c r="B899">
        <v>9261</v>
      </c>
      <c r="C899" t="s">
        <v>2319</v>
      </c>
    </row>
    <row r="900" spans="1:3">
      <c r="A900" t="s">
        <v>2320</v>
      </c>
      <c r="B900">
        <v>9262</v>
      </c>
      <c r="C900" t="s">
        <v>2321</v>
      </c>
    </row>
    <row r="901" spans="1:3">
      <c r="A901" t="s">
        <v>2322</v>
      </c>
      <c r="B901">
        <v>9270</v>
      </c>
      <c r="C901" t="s">
        <v>2323</v>
      </c>
    </row>
    <row r="902" spans="1:3">
      <c r="A902" t="s">
        <v>2324</v>
      </c>
      <c r="B902">
        <v>9271</v>
      </c>
      <c r="C902" t="s">
        <v>2325</v>
      </c>
    </row>
    <row r="903" spans="1:3">
      <c r="A903" t="s">
        <v>2326</v>
      </c>
      <c r="B903">
        <v>9272</v>
      </c>
      <c r="C903" t="s">
        <v>2327</v>
      </c>
    </row>
    <row r="904" spans="1:3">
      <c r="A904" t="s">
        <v>2328</v>
      </c>
      <c r="B904">
        <v>9280</v>
      </c>
      <c r="C904" t="s">
        <v>2329</v>
      </c>
    </row>
    <row r="905" spans="1:3">
      <c r="A905" t="s">
        <v>2330</v>
      </c>
      <c r="B905">
        <v>9281</v>
      </c>
      <c r="C905" t="s">
        <v>2329</v>
      </c>
    </row>
    <row r="906" spans="1:3">
      <c r="A906" t="s">
        <v>2331</v>
      </c>
      <c r="B906">
        <v>9282</v>
      </c>
      <c r="C906" t="s">
        <v>2332</v>
      </c>
    </row>
    <row r="907" spans="1:3">
      <c r="A907" t="s">
        <v>2333</v>
      </c>
      <c r="B907">
        <v>9300</v>
      </c>
      <c r="C907" t="s">
        <v>2334</v>
      </c>
    </row>
    <row r="908" spans="1:3">
      <c r="A908" t="s">
        <v>2335</v>
      </c>
      <c r="B908">
        <v>9301</v>
      </c>
      <c r="C908" t="s">
        <v>2336</v>
      </c>
    </row>
    <row r="909" spans="1:3">
      <c r="A909" t="s">
        <v>2337</v>
      </c>
      <c r="B909">
        <v>9302</v>
      </c>
      <c r="C909" t="s">
        <v>2338</v>
      </c>
    </row>
    <row r="910" spans="1:3">
      <c r="A910" t="s">
        <v>2339</v>
      </c>
      <c r="B910">
        <v>9307</v>
      </c>
      <c r="C910" t="s">
        <v>2340</v>
      </c>
    </row>
    <row r="911" spans="1:3">
      <c r="A911" t="s">
        <v>2341</v>
      </c>
      <c r="B911">
        <v>9310</v>
      </c>
      <c r="C911" t="s">
        <v>2342</v>
      </c>
    </row>
    <row r="912" spans="1:3">
      <c r="A912" t="s">
        <v>2343</v>
      </c>
      <c r="B912">
        <v>9311</v>
      </c>
      <c r="C912" t="s">
        <v>2344</v>
      </c>
    </row>
    <row r="913" spans="1:3">
      <c r="A913" t="s">
        <v>2345</v>
      </c>
      <c r="B913">
        <v>9312</v>
      </c>
      <c r="C913" t="s">
        <v>2346</v>
      </c>
    </row>
    <row r="914" spans="1:3">
      <c r="A914" t="s">
        <v>2347</v>
      </c>
      <c r="B914">
        <v>9320</v>
      </c>
      <c r="C914" t="s">
        <v>2348</v>
      </c>
    </row>
    <row r="915" spans="1:3">
      <c r="A915" t="s">
        <v>2349</v>
      </c>
      <c r="B915">
        <v>9321</v>
      </c>
      <c r="C915" t="s">
        <v>2350</v>
      </c>
    </row>
    <row r="916" spans="1:3">
      <c r="A916" t="s">
        <v>2351</v>
      </c>
      <c r="B916">
        <v>9322</v>
      </c>
      <c r="C916" t="s">
        <v>2352</v>
      </c>
    </row>
    <row r="917" spans="1:3">
      <c r="A917" t="s">
        <v>2353</v>
      </c>
      <c r="B917">
        <v>9330</v>
      </c>
      <c r="C917" t="s">
        <v>2354</v>
      </c>
    </row>
    <row r="918" spans="1:3">
      <c r="A918" t="s">
        <v>2355</v>
      </c>
      <c r="B918">
        <v>9331</v>
      </c>
      <c r="C918" t="s">
        <v>2356</v>
      </c>
    </row>
    <row r="919" spans="1:3">
      <c r="A919" t="s">
        <v>2357</v>
      </c>
      <c r="B919">
        <v>9332</v>
      </c>
      <c r="C919" t="s">
        <v>2358</v>
      </c>
    </row>
    <row r="920" spans="1:3">
      <c r="A920" t="s">
        <v>2359</v>
      </c>
      <c r="B920">
        <v>9340</v>
      </c>
      <c r="C920" t="s">
        <v>2360</v>
      </c>
    </row>
    <row r="921" spans="1:3">
      <c r="A921" t="s">
        <v>2361</v>
      </c>
      <c r="B921">
        <v>9341</v>
      </c>
      <c r="C921" t="s">
        <v>2362</v>
      </c>
    </row>
    <row r="922" spans="1:3">
      <c r="A922" t="s">
        <v>2363</v>
      </c>
      <c r="B922">
        <v>9350</v>
      </c>
      <c r="C922" t="s">
        <v>2364</v>
      </c>
    </row>
    <row r="923" spans="1:3">
      <c r="A923" t="s">
        <v>2365</v>
      </c>
      <c r="B923">
        <v>9351</v>
      </c>
      <c r="C923" t="s">
        <v>2366</v>
      </c>
    </row>
    <row r="924" spans="1:3">
      <c r="A924" t="s">
        <v>2367</v>
      </c>
      <c r="B924">
        <v>9352</v>
      </c>
      <c r="C924" t="s">
        <v>2368</v>
      </c>
    </row>
    <row r="925" spans="1:3">
      <c r="A925" t="s">
        <v>2369</v>
      </c>
      <c r="B925">
        <v>9360</v>
      </c>
      <c r="C925" t="s">
        <v>2370</v>
      </c>
    </row>
    <row r="926" spans="1:3">
      <c r="A926" t="s">
        <v>2371</v>
      </c>
      <c r="B926">
        <v>9362</v>
      </c>
      <c r="C926" t="s">
        <v>1847</v>
      </c>
    </row>
    <row r="927" spans="1:3">
      <c r="A927" t="s">
        <v>2618</v>
      </c>
      <c r="B927">
        <v>9366</v>
      </c>
      <c r="C927" t="s">
        <v>2619</v>
      </c>
    </row>
    <row r="928" spans="1:3">
      <c r="A928" t="s">
        <v>2372</v>
      </c>
      <c r="B928">
        <v>9370</v>
      </c>
      <c r="C928" t="s">
        <v>2373</v>
      </c>
    </row>
    <row r="929" spans="1:3">
      <c r="A929" t="s">
        <v>2374</v>
      </c>
      <c r="B929">
        <v>9380</v>
      </c>
      <c r="C929" t="s">
        <v>2375</v>
      </c>
    </row>
    <row r="930" spans="1:3">
      <c r="A930" t="s">
        <v>2376</v>
      </c>
      <c r="B930">
        <v>9390</v>
      </c>
      <c r="C930" t="s">
        <v>2377</v>
      </c>
    </row>
    <row r="931" spans="1:3">
      <c r="A931" t="s">
        <v>2378</v>
      </c>
      <c r="B931">
        <v>9400</v>
      </c>
      <c r="C931" t="s">
        <v>2379</v>
      </c>
    </row>
    <row r="932" spans="1:3">
      <c r="A932" t="s">
        <v>2380</v>
      </c>
      <c r="B932">
        <v>9401</v>
      </c>
      <c r="C932" t="s">
        <v>2381</v>
      </c>
    </row>
    <row r="933" spans="1:3">
      <c r="A933" t="s">
        <v>2382</v>
      </c>
      <c r="B933">
        <v>9402</v>
      </c>
      <c r="C933" t="s">
        <v>2383</v>
      </c>
    </row>
    <row r="934" spans="1:3">
      <c r="A934" t="s">
        <v>2384</v>
      </c>
      <c r="B934">
        <v>9403</v>
      </c>
      <c r="C934" t="s">
        <v>2385</v>
      </c>
    </row>
    <row r="935" spans="1:3">
      <c r="A935" t="s">
        <v>2386</v>
      </c>
      <c r="B935">
        <v>9404</v>
      </c>
      <c r="C935" t="s">
        <v>2387</v>
      </c>
    </row>
    <row r="936" spans="1:3">
      <c r="A936" t="s">
        <v>2388</v>
      </c>
      <c r="B936">
        <v>9409</v>
      </c>
      <c r="C936" t="s">
        <v>2389</v>
      </c>
    </row>
    <row r="937" spans="1:3">
      <c r="A937" t="s">
        <v>2390</v>
      </c>
      <c r="B937">
        <v>9410</v>
      </c>
      <c r="C937" t="s">
        <v>2391</v>
      </c>
    </row>
    <row r="938" spans="1:3">
      <c r="A938" t="s">
        <v>2392</v>
      </c>
      <c r="B938">
        <v>9420</v>
      </c>
      <c r="C938" t="s">
        <v>2393</v>
      </c>
    </row>
    <row r="939" spans="1:3">
      <c r="A939" t="s">
        <v>2394</v>
      </c>
      <c r="B939">
        <v>9430</v>
      </c>
      <c r="C939" t="s">
        <v>2395</v>
      </c>
    </row>
    <row r="940" spans="1:3">
      <c r="A940" t="s">
        <v>2396</v>
      </c>
      <c r="B940">
        <v>9431</v>
      </c>
      <c r="C940" t="s">
        <v>2397</v>
      </c>
    </row>
    <row r="941" spans="1:3">
      <c r="A941" t="s">
        <v>2398</v>
      </c>
      <c r="B941">
        <v>9440</v>
      </c>
      <c r="C941" t="s">
        <v>2399</v>
      </c>
    </row>
    <row r="942" spans="1:3">
      <c r="A942" t="s">
        <v>2400</v>
      </c>
      <c r="B942">
        <v>9450</v>
      </c>
      <c r="C942" t="s">
        <v>2401</v>
      </c>
    </row>
    <row r="943" spans="1:3">
      <c r="A943" t="s">
        <v>2402</v>
      </c>
      <c r="B943">
        <v>9454</v>
      </c>
      <c r="C943" t="s">
        <v>2403</v>
      </c>
    </row>
    <row r="944" spans="1:3">
      <c r="A944" t="s">
        <v>2404</v>
      </c>
      <c r="B944">
        <v>9460</v>
      </c>
      <c r="C944" t="s">
        <v>2405</v>
      </c>
    </row>
    <row r="945" spans="1:3">
      <c r="A945" t="s">
        <v>2406</v>
      </c>
      <c r="B945">
        <v>9461</v>
      </c>
      <c r="C945" t="s">
        <v>2407</v>
      </c>
    </row>
    <row r="946" spans="1:3">
      <c r="A946" t="s">
        <v>2408</v>
      </c>
      <c r="B946">
        <v>9470</v>
      </c>
      <c r="C946" t="s">
        <v>2409</v>
      </c>
    </row>
    <row r="947" spans="1:3">
      <c r="A947" t="s">
        <v>2410</v>
      </c>
      <c r="B947">
        <v>9471</v>
      </c>
      <c r="C947" t="s">
        <v>2411</v>
      </c>
    </row>
    <row r="948" spans="1:3">
      <c r="A948" t="s">
        <v>2994</v>
      </c>
      <c r="B948">
        <v>9480</v>
      </c>
      <c r="C948" t="s">
        <v>2995</v>
      </c>
    </row>
    <row r="949" spans="1:3">
      <c r="A949" t="s">
        <v>2412</v>
      </c>
      <c r="B949">
        <v>9490</v>
      </c>
      <c r="C949" t="s">
        <v>2413</v>
      </c>
    </row>
    <row r="950" spans="1:3">
      <c r="A950" t="s">
        <v>3326</v>
      </c>
      <c r="B950">
        <v>9491</v>
      </c>
      <c r="C950" t="s">
        <v>3327</v>
      </c>
    </row>
    <row r="951" spans="1:3">
      <c r="A951" t="s">
        <v>2414</v>
      </c>
      <c r="B951">
        <v>9500</v>
      </c>
      <c r="C951" t="s">
        <v>2415</v>
      </c>
    </row>
    <row r="952" spans="1:3">
      <c r="A952" t="s">
        <v>2416</v>
      </c>
      <c r="B952">
        <v>9510</v>
      </c>
      <c r="C952" t="s">
        <v>2417</v>
      </c>
    </row>
    <row r="953" spans="1:3">
      <c r="A953" t="s">
        <v>2418</v>
      </c>
      <c r="B953">
        <v>9511</v>
      </c>
      <c r="C953" t="s">
        <v>2419</v>
      </c>
    </row>
    <row r="954" spans="1:3">
      <c r="A954" t="s">
        <v>2420</v>
      </c>
      <c r="B954">
        <v>9512</v>
      </c>
      <c r="C954" t="s">
        <v>2421</v>
      </c>
    </row>
    <row r="955" spans="1:3">
      <c r="A955" t="s">
        <v>2422</v>
      </c>
      <c r="B955">
        <v>9513</v>
      </c>
      <c r="C955" t="s">
        <v>2423</v>
      </c>
    </row>
    <row r="956" spans="1:3">
      <c r="A956" t="s">
        <v>2424</v>
      </c>
      <c r="B956">
        <v>9520</v>
      </c>
      <c r="C956" t="s">
        <v>2425</v>
      </c>
    </row>
    <row r="957" spans="1:3">
      <c r="A957" t="s">
        <v>2426</v>
      </c>
      <c r="B957">
        <v>9530</v>
      </c>
      <c r="C957" t="s">
        <v>2996</v>
      </c>
    </row>
    <row r="958" spans="1:3">
      <c r="A958" t="s">
        <v>2427</v>
      </c>
      <c r="B958">
        <v>9540</v>
      </c>
      <c r="C958" t="s">
        <v>2428</v>
      </c>
    </row>
    <row r="959" spans="1:3">
      <c r="A959" t="s">
        <v>2429</v>
      </c>
      <c r="B959">
        <v>9550</v>
      </c>
      <c r="C959" t="s">
        <v>2430</v>
      </c>
    </row>
    <row r="960" spans="1:3">
      <c r="A960" t="s">
        <v>2431</v>
      </c>
      <c r="B960">
        <v>9570</v>
      </c>
      <c r="C960" t="s">
        <v>2432</v>
      </c>
    </row>
    <row r="961" spans="1:3">
      <c r="A961" t="s">
        <v>2997</v>
      </c>
      <c r="B961">
        <v>9580</v>
      </c>
      <c r="C961" t="s">
        <v>2998</v>
      </c>
    </row>
    <row r="962" spans="1:3">
      <c r="A962" t="s">
        <v>2433</v>
      </c>
      <c r="B962">
        <v>9590</v>
      </c>
      <c r="C962" t="s">
        <v>2434</v>
      </c>
    </row>
    <row r="963" spans="1:3">
      <c r="A963" t="s">
        <v>2435</v>
      </c>
      <c r="B963">
        <v>9600</v>
      </c>
      <c r="C963" t="s">
        <v>2436</v>
      </c>
    </row>
    <row r="964" spans="1:3">
      <c r="A964" t="s">
        <v>2437</v>
      </c>
      <c r="B964">
        <v>9601</v>
      </c>
      <c r="C964" t="s">
        <v>2438</v>
      </c>
    </row>
    <row r="965" spans="1:3">
      <c r="A965" t="s">
        <v>2620</v>
      </c>
      <c r="B965">
        <v>9616</v>
      </c>
      <c r="C965" t="s">
        <v>2621</v>
      </c>
    </row>
    <row r="966" spans="1:3">
      <c r="A966" t="s">
        <v>2439</v>
      </c>
      <c r="B966">
        <v>9630</v>
      </c>
      <c r="C966" t="s">
        <v>2440</v>
      </c>
    </row>
    <row r="967" spans="1:3">
      <c r="A967" t="s">
        <v>2441</v>
      </c>
      <c r="B967">
        <v>9640</v>
      </c>
      <c r="C967" t="s">
        <v>2442</v>
      </c>
    </row>
    <row r="968" spans="1:3">
      <c r="A968" t="s">
        <v>2443</v>
      </c>
      <c r="B968">
        <v>9650</v>
      </c>
      <c r="C968" t="s">
        <v>2444</v>
      </c>
    </row>
    <row r="969" spans="1:3">
      <c r="A969" t="s">
        <v>2445</v>
      </c>
      <c r="B969">
        <v>9660</v>
      </c>
      <c r="C969" t="s">
        <v>2446</v>
      </c>
    </row>
    <row r="970" spans="1:3">
      <c r="A970" t="s">
        <v>2734</v>
      </c>
      <c r="B970">
        <v>9670</v>
      </c>
      <c r="C970" t="s">
        <v>2735</v>
      </c>
    </row>
    <row r="971" spans="1:3">
      <c r="A971" t="s">
        <v>2736</v>
      </c>
      <c r="B971">
        <v>9680</v>
      </c>
      <c r="C971" t="s">
        <v>2737</v>
      </c>
    </row>
    <row r="972" spans="1:3">
      <c r="A972" t="s">
        <v>2738</v>
      </c>
      <c r="B972">
        <v>9690</v>
      </c>
      <c r="C972" t="s">
        <v>2739</v>
      </c>
    </row>
    <row r="973" spans="1:3">
      <c r="A973" t="s">
        <v>2447</v>
      </c>
      <c r="B973">
        <v>9700</v>
      </c>
      <c r="C973" t="s">
        <v>2448</v>
      </c>
    </row>
    <row r="974" spans="1:3">
      <c r="A974" t="s">
        <v>2740</v>
      </c>
      <c r="B974">
        <v>9710</v>
      </c>
      <c r="C974" t="s">
        <v>2741</v>
      </c>
    </row>
    <row r="975" spans="1:3">
      <c r="A975" t="s">
        <v>2999</v>
      </c>
      <c r="B975">
        <v>9730</v>
      </c>
      <c r="C975" t="s">
        <v>3000</v>
      </c>
    </row>
    <row r="976" spans="1:3">
      <c r="A976" t="s">
        <v>3001</v>
      </c>
      <c r="B976">
        <v>9740</v>
      </c>
      <c r="C976" t="s">
        <v>3002</v>
      </c>
    </row>
    <row r="977" spans="1:3">
      <c r="A977" t="s">
        <v>2449</v>
      </c>
      <c r="B977">
        <v>9750</v>
      </c>
      <c r="C977" t="s">
        <v>2450</v>
      </c>
    </row>
    <row r="978" spans="1:3">
      <c r="A978" t="s">
        <v>2451</v>
      </c>
      <c r="B978">
        <v>9765</v>
      </c>
      <c r="C978" t="s">
        <v>2452</v>
      </c>
    </row>
    <row r="979" spans="1:3">
      <c r="A979" t="s">
        <v>2453</v>
      </c>
      <c r="B979">
        <v>9770</v>
      </c>
      <c r="C979" t="s">
        <v>2454</v>
      </c>
    </row>
    <row r="980" spans="1:3">
      <c r="A980" t="s">
        <v>2742</v>
      </c>
      <c r="B980">
        <v>9780</v>
      </c>
      <c r="C980" t="s">
        <v>2743</v>
      </c>
    </row>
    <row r="981" spans="1:3">
      <c r="A981" t="s">
        <v>2744</v>
      </c>
      <c r="B981">
        <v>9790</v>
      </c>
      <c r="C981" t="s">
        <v>2745</v>
      </c>
    </row>
    <row r="982" spans="1:3">
      <c r="A982" t="s">
        <v>2455</v>
      </c>
      <c r="B982">
        <v>9799</v>
      </c>
      <c r="C982" t="s">
        <v>2456</v>
      </c>
    </row>
    <row r="983" spans="1:3">
      <c r="A983" t="s">
        <v>2457</v>
      </c>
      <c r="B983">
        <v>9800</v>
      </c>
      <c r="C983" t="s">
        <v>2458</v>
      </c>
    </row>
    <row r="984" spans="1:3">
      <c r="A984" t="s">
        <v>2459</v>
      </c>
      <c r="B984">
        <v>9810</v>
      </c>
      <c r="C984" t="s">
        <v>2460</v>
      </c>
    </row>
    <row r="985" spans="1:3">
      <c r="A985" t="s">
        <v>2461</v>
      </c>
      <c r="B985">
        <v>9820</v>
      </c>
      <c r="C985" t="s">
        <v>2462</v>
      </c>
    </row>
    <row r="986" spans="1:3">
      <c r="A986" t="s">
        <v>2746</v>
      </c>
      <c r="B986">
        <v>9830</v>
      </c>
      <c r="C986" t="s">
        <v>2747</v>
      </c>
    </row>
    <row r="987" spans="1:3">
      <c r="A987" t="s">
        <v>2748</v>
      </c>
      <c r="B987">
        <v>9840</v>
      </c>
      <c r="C987" t="s">
        <v>2749</v>
      </c>
    </row>
    <row r="988" spans="1:3">
      <c r="A988" t="s">
        <v>2750</v>
      </c>
      <c r="B988">
        <v>9850</v>
      </c>
      <c r="C988" t="s">
        <v>2751</v>
      </c>
    </row>
    <row r="989" spans="1:3">
      <c r="A989" t="s">
        <v>2463</v>
      </c>
      <c r="B989">
        <v>9860</v>
      </c>
      <c r="C989" t="s">
        <v>2464</v>
      </c>
    </row>
    <row r="990" spans="1:3">
      <c r="A990" t="s">
        <v>2874</v>
      </c>
      <c r="B990">
        <v>9870</v>
      </c>
      <c r="C990" t="s">
        <v>2875</v>
      </c>
    </row>
    <row r="991" spans="1:3">
      <c r="A991" t="s">
        <v>2465</v>
      </c>
      <c r="B991">
        <v>9880</v>
      </c>
      <c r="C991" t="s">
        <v>2466</v>
      </c>
    </row>
    <row r="992" spans="1:3">
      <c r="A992" t="s">
        <v>2467</v>
      </c>
      <c r="B992">
        <v>9900</v>
      </c>
      <c r="C992" t="s">
        <v>1384</v>
      </c>
    </row>
    <row r="993" spans="1:3">
      <c r="A993" t="s">
        <v>3003</v>
      </c>
      <c r="B993">
        <v>9910</v>
      </c>
      <c r="C993" t="s">
        <v>3004</v>
      </c>
    </row>
    <row r="994" spans="1:3">
      <c r="A994" t="s">
        <v>2468</v>
      </c>
      <c r="B994">
        <v>9912</v>
      </c>
      <c r="C994" t="s">
        <v>2469</v>
      </c>
    </row>
    <row r="995" spans="1:3">
      <c r="A995" t="s">
        <v>3005</v>
      </c>
      <c r="B995">
        <v>9920</v>
      </c>
      <c r="C995" t="s">
        <v>3006</v>
      </c>
    </row>
    <row r="996" spans="1:3">
      <c r="A996" t="s">
        <v>2470</v>
      </c>
      <c r="B996">
        <v>9949</v>
      </c>
      <c r="C996" t="s">
        <v>2471</v>
      </c>
    </row>
    <row r="997" spans="1:3">
      <c r="A997" t="s">
        <v>2752</v>
      </c>
      <c r="B997">
        <v>9992</v>
      </c>
      <c r="C997" t="s">
        <v>2753</v>
      </c>
    </row>
    <row r="998" spans="1:3">
      <c r="A998" t="s">
        <v>2622</v>
      </c>
      <c r="B998">
        <v>9998</v>
      </c>
      <c r="C998" t="s">
        <v>2623</v>
      </c>
    </row>
    <row r="999" spans="1:3">
      <c r="A999" t="s">
        <v>787</v>
      </c>
      <c r="B999">
        <v>10000</v>
      </c>
      <c r="C999" t="s">
        <v>2472</v>
      </c>
    </row>
    <row r="1000" spans="1:3">
      <c r="A1000" t="s">
        <v>2473</v>
      </c>
      <c r="B1000">
        <v>10001</v>
      </c>
      <c r="C1000" t="s">
        <v>2474</v>
      </c>
    </row>
    <row r="1001" spans="1:3">
      <c r="A1001" t="s">
        <v>2475</v>
      </c>
      <c r="B1001">
        <v>10002</v>
      </c>
      <c r="C1001" t="s">
        <v>2476</v>
      </c>
    </row>
    <row r="1002" spans="1:3">
      <c r="A1002" t="s">
        <v>2477</v>
      </c>
      <c r="B1002">
        <v>10003</v>
      </c>
      <c r="C1002" t="s">
        <v>2478</v>
      </c>
    </row>
    <row r="1003" spans="1:3">
      <c r="A1003" t="s">
        <v>2479</v>
      </c>
      <c r="B1003">
        <v>10006</v>
      </c>
      <c r="C1003" t="s">
        <v>2480</v>
      </c>
    </row>
    <row r="1004" spans="1:3">
      <c r="A1004" t="s">
        <v>2481</v>
      </c>
      <c r="B1004">
        <v>10007</v>
      </c>
      <c r="C1004" t="s">
        <v>2482</v>
      </c>
    </row>
    <row r="1005" spans="1:3">
      <c r="A1005" t="s">
        <v>2483</v>
      </c>
      <c r="B1005">
        <v>10008</v>
      </c>
      <c r="C1005" t="s">
        <v>2484</v>
      </c>
    </row>
    <row r="1006" spans="1:3">
      <c r="A1006" t="s">
        <v>2485</v>
      </c>
      <c r="B1006">
        <v>10010</v>
      </c>
      <c r="C1006" t="s">
        <v>2486</v>
      </c>
    </row>
    <row r="1007" spans="1:3">
      <c r="A1007" t="s">
        <v>3007</v>
      </c>
      <c r="B1007">
        <v>10020</v>
      </c>
      <c r="C1007" t="s">
        <v>3008</v>
      </c>
    </row>
    <row r="1008" spans="1:3">
      <c r="A1008" t="s">
        <v>3009</v>
      </c>
      <c r="B1008">
        <v>10030</v>
      </c>
      <c r="C1008" t="s">
        <v>2928</v>
      </c>
    </row>
    <row r="1009" spans="1:3">
      <c r="A1009" t="s">
        <v>2487</v>
      </c>
      <c r="B1009">
        <v>10040</v>
      </c>
      <c r="C1009" t="s">
        <v>2488</v>
      </c>
    </row>
    <row r="1010" spans="1:3">
      <c r="A1010" t="s">
        <v>3010</v>
      </c>
      <c r="B1010">
        <v>10050</v>
      </c>
      <c r="C1010" t="s">
        <v>3011</v>
      </c>
    </row>
    <row r="1011" spans="1:3">
      <c r="A1011" t="s">
        <v>3012</v>
      </c>
      <c r="B1011">
        <v>10060</v>
      </c>
      <c r="C1011" t="s">
        <v>3013</v>
      </c>
    </row>
    <row r="1012" spans="1:3">
      <c r="A1012" t="s">
        <v>2489</v>
      </c>
      <c r="B1012">
        <v>10070</v>
      </c>
      <c r="C1012" t="s">
        <v>2490</v>
      </c>
    </row>
    <row r="1013" spans="1:3">
      <c r="A1013" t="s">
        <v>788</v>
      </c>
      <c r="B1013">
        <v>10100</v>
      </c>
      <c r="C1013" t="s">
        <v>3014</v>
      </c>
    </row>
    <row r="1014" spans="1:3">
      <c r="A1014" t="s">
        <v>3015</v>
      </c>
      <c r="B1014">
        <v>10110</v>
      </c>
      <c r="C1014" t="s">
        <v>3016</v>
      </c>
    </row>
    <row r="1015" spans="1:3">
      <c r="A1015" t="s">
        <v>3017</v>
      </c>
      <c r="B1015">
        <v>10120</v>
      </c>
      <c r="C1015" t="s">
        <v>3018</v>
      </c>
    </row>
    <row r="1016" spans="1:3">
      <c r="A1016" t="s">
        <v>3019</v>
      </c>
      <c r="B1016">
        <v>10130</v>
      </c>
      <c r="C1016" t="s">
        <v>3020</v>
      </c>
    </row>
    <row r="1017" spans="1:3">
      <c r="A1017" t="s">
        <v>3021</v>
      </c>
      <c r="B1017">
        <v>10140</v>
      </c>
      <c r="C1017" t="s">
        <v>3022</v>
      </c>
    </row>
    <row r="1018" spans="1:3">
      <c r="A1018" t="s">
        <v>3023</v>
      </c>
      <c r="B1018">
        <v>10150</v>
      </c>
      <c r="C1018" t="s">
        <v>3024</v>
      </c>
    </row>
    <row r="1019" spans="1:3">
      <c r="A1019" t="s">
        <v>3025</v>
      </c>
      <c r="B1019">
        <v>10160</v>
      </c>
      <c r="C1019" t="s">
        <v>3026</v>
      </c>
    </row>
    <row r="1020" spans="1:3">
      <c r="A1020" t="s">
        <v>3027</v>
      </c>
      <c r="B1020">
        <v>10170</v>
      </c>
      <c r="C1020" t="s">
        <v>3028</v>
      </c>
    </row>
    <row r="1021" spans="1:3">
      <c r="A1021" t="s">
        <v>3029</v>
      </c>
      <c r="B1021">
        <v>10180</v>
      </c>
      <c r="C1021" t="s">
        <v>3030</v>
      </c>
    </row>
    <row r="1022" spans="1:3">
      <c r="A1022" t="s">
        <v>3031</v>
      </c>
      <c r="B1022">
        <v>10190</v>
      </c>
      <c r="C1022" t="s">
        <v>3032</v>
      </c>
    </row>
    <row r="1023" spans="1:3">
      <c r="A1023" t="s">
        <v>3033</v>
      </c>
      <c r="B1023">
        <v>10200</v>
      </c>
      <c r="C1023" t="s">
        <v>3034</v>
      </c>
    </row>
    <row r="1024" spans="1:3">
      <c r="A1024" t="s">
        <v>3035</v>
      </c>
      <c r="B1024">
        <v>10210</v>
      </c>
      <c r="C1024" t="s">
        <v>3036</v>
      </c>
    </row>
    <row r="1025" spans="1:3">
      <c r="A1025" t="s">
        <v>3037</v>
      </c>
      <c r="B1025">
        <v>10220</v>
      </c>
      <c r="C1025" t="s">
        <v>3038</v>
      </c>
    </row>
    <row r="1026" spans="1:3">
      <c r="A1026" t="s">
        <v>3039</v>
      </c>
      <c r="B1026">
        <v>10230</v>
      </c>
      <c r="C1026" t="s">
        <v>3040</v>
      </c>
    </row>
    <row r="1027" spans="1:3">
      <c r="A1027" t="s">
        <v>3041</v>
      </c>
      <c r="B1027">
        <v>10240</v>
      </c>
      <c r="C1027" t="s">
        <v>3042</v>
      </c>
    </row>
    <row r="1028" spans="1:3">
      <c r="A1028" t="s">
        <v>3043</v>
      </c>
      <c r="B1028">
        <v>10250</v>
      </c>
      <c r="C1028" t="s">
        <v>3044</v>
      </c>
    </row>
    <row r="1029" spans="1:3">
      <c r="A1029" t="s">
        <v>3045</v>
      </c>
      <c r="B1029">
        <v>10260</v>
      </c>
      <c r="C1029" t="s">
        <v>3046</v>
      </c>
    </row>
    <row r="1030" spans="1:3">
      <c r="A1030" t="s">
        <v>3047</v>
      </c>
      <c r="B1030">
        <v>10310</v>
      </c>
      <c r="C1030" t="s">
        <v>3048</v>
      </c>
    </row>
    <row r="1031" spans="1:3">
      <c r="A1031" t="s">
        <v>3049</v>
      </c>
      <c r="B1031">
        <v>10320</v>
      </c>
      <c r="C1031" t="s">
        <v>3050</v>
      </c>
    </row>
    <row r="1032" spans="1:3">
      <c r="A1032" t="s">
        <v>3051</v>
      </c>
      <c r="B1032">
        <v>10330</v>
      </c>
      <c r="C1032" t="s">
        <v>3052</v>
      </c>
    </row>
    <row r="1033" spans="1:3">
      <c r="A1033" t="s">
        <v>3053</v>
      </c>
      <c r="B1033">
        <v>10350</v>
      </c>
      <c r="C1033" t="s">
        <v>3054</v>
      </c>
    </row>
    <row r="1034" spans="1:3">
      <c r="A1034" t="s">
        <v>3055</v>
      </c>
      <c r="B1034">
        <v>10360</v>
      </c>
      <c r="C1034" t="s">
        <v>3056</v>
      </c>
    </row>
    <row r="1035" spans="1:3">
      <c r="A1035" t="s">
        <v>3057</v>
      </c>
      <c r="B1035">
        <v>10370</v>
      </c>
      <c r="C1035" t="s">
        <v>3058</v>
      </c>
    </row>
    <row r="1036" spans="1:3">
      <c r="A1036" t="s">
        <v>3059</v>
      </c>
      <c r="B1036">
        <v>10380</v>
      </c>
      <c r="C1036" t="s">
        <v>2942</v>
      </c>
    </row>
    <row r="1037" spans="1:3">
      <c r="A1037" t="s">
        <v>3060</v>
      </c>
      <c r="B1037">
        <v>10390</v>
      </c>
      <c r="C1037" t="s">
        <v>3061</v>
      </c>
    </row>
    <row r="1038" spans="1:3">
      <c r="A1038" t="s">
        <v>2491</v>
      </c>
      <c r="B1038">
        <v>10400</v>
      </c>
      <c r="C1038" t="s">
        <v>2492</v>
      </c>
    </row>
    <row r="1039" spans="1:3">
      <c r="A1039" t="s">
        <v>2493</v>
      </c>
      <c r="B1039">
        <v>10410</v>
      </c>
      <c r="C1039" t="s">
        <v>2494</v>
      </c>
    </row>
    <row r="1040" spans="1:3">
      <c r="A1040" t="s">
        <v>3062</v>
      </c>
      <c r="B1040">
        <v>10440</v>
      </c>
      <c r="C1040" t="s">
        <v>3063</v>
      </c>
    </row>
    <row r="1041" spans="1:3">
      <c r="A1041" t="s">
        <v>3168</v>
      </c>
      <c r="B1041">
        <v>10470</v>
      </c>
      <c r="C1041" t="s">
        <v>3169</v>
      </c>
    </row>
    <row r="1042" spans="1:3">
      <c r="A1042" t="s">
        <v>3170</v>
      </c>
      <c r="B1042">
        <v>10480</v>
      </c>
      <c r="C1042" t="s">
        <v>3171</v>
      </c>
    </row>
    <row r="1043" spans="1:3">
      <c r="A1043" t="s">
        <v>3172</v>
      </c>
      <c r="B1043">
        <v>10490</v>
      </c>
      <c r="C1043" t="s">
        <v>3173</v>
      </c>
    </row>
    <row r="1044" spans="1:3">
      <c r="A1044" t="s">
        <v>2495</v>
      </c>
      <c r="B1044">
        <v>10520</v>
      </c>
      <c r="C1044" t="s">
        <v>2496</v>
      </c>
    </row>
    <row r="1045" spans="1:3">
      <c r="A1045" t="s">
        <v>3174</v>
      </c>
      <c r="B1045">
        <v>10570</v>
      </c>
      <c r="C1045" t="s">
        <v>3175</v>
      </c>
    </row>
    <row r="1046" spans="1:3">
      <c r="A1046" t="s">
        <v>3176</v>
      </c>
      <c r="B1046">
        <v>10590</v>
      </c>
      <c r="C1046" t="s">
        <v>3177</v>
      </c>
    </row>
    <row r="1047" spans="1:3">
      <c r="A1047" t="s">
        <v>2497</v>
      </c>
      <c r="B1047">
        <v>10600</v>
      </c>
      <c r="C1047" t="s">
        <v>1521</v>
      </c>
    </row>
    <row r="1048" spans="1:3">
      <c r="A1048" t="s">
        <v>2498</v>
      </c>
      <c r="B1048">
        <v>10610</v>
      </c>
      <c r="C1048" t="s">
        <v>2499</v>
      </c>
    </row>
    <row r="1049" spans="1:3">
      <c r="A1049" t="s">
        <v>3178</v>
      </c>
      <c r="B1049">
        <v>10640</v>
      </c>
      <c r="C1049" t="s">
        <v>3179</v>
      </c>
    </row>
    <row r="1050" spans="1:3">
      <c r="A1050" t="s">
        <v>3180</v>
      </c>
      <c r="B1050">
        <v>10650</v>
      </c>
      <c r="C1050" t="s">
        <v>3181</v>
      </c>
    </row>
    <row r="1051" spans="1:3">
      <c r="A1051" t="s">
        <v>3182</v>
      </c>
      <c r="B1051">
        <v>10690</v>
      </c>
      <c r="C1051" t="s">
        <v>3183</v>
      </c>
    </row>
    <row r="1052" spans="1:3">
      <c r="A1052" t="s">
        <v>789</v>
      </c>
      <c r="B1052">
        <v>10700</v>
      </c>
      <c r="C1052" t="s">
        <v>3184</v>
      </c>
    </row>
    <row r="1053" spans="1:3">
      <c r="A1053" t="s">
        <v>3185</v>
      </c>
      <c r="B1053">
        <v>10710</v>
      </c>
      <c r="C1053" t="s">
        <v>3134</v>
      </c>
    </row>
    <row r="1054" spans="1:3">
      <c r="A1054" t="s">
        <v>3186</v>
      </c>
      <c r="B1054">
        <v>10720</v>
      </c>
      <c r="C1054" t="s">
        <v>3187</v>
      </c>
    </row>
    <row r="1055" spans="1:3">
      <c r="A1055" t="s">
        <v>3188</v>
      </c>
      <c r="B1055">
        <v>10740</v>
      </c>
      <c r="C1055" t="s">
        <v>3189</v>
      </c>
    </row>
    <row r="1056" spans="1:3">
      <c r="A1056" t="s">
        <v>3190</v>
      </c>
      <c r="B1056">
        <v>10750</v>
      </c>
      <c r="C1056" t="s">
        <v>3191</v>
      </c>
    </row>
    <row r="1057" spans="1:3">
      <c r="A1057" t="s">
        <v>3192</v>
      </c>
      <c r="B1057">
        <v>10760</v>
      </c>
      <c r="C1057" t="s">
        <v>3193</v>
      </c>
    </row>
    <row r="1058" spans="1:3">
      <c r="A1058" t="s">
        <v>3194</v>
      </c>
      <c r="B1058">
        <v>10780</v>
      </c>
      <c r="C1058" t="s">
        <v>3195</v>
      </c>
    </row>
    <row r="1059" spans="1:3">
      <c r="A1059" t="s">
        <v>3196</v>
      </c>
      <c r="B1059">
        <v>10810</v>
      </c>
      <c r="C1059" t="s">
        <v>3197</v>
      </c>
    </row>
    <row r="1060" spans="1:3">
      <c r="A1060" t="s">
        <v>3198</v>
      </c>
      <c r="B1060">
        <v>10820</v>
      </c>
      <c r="C1060" t="s">
        <v>3199</v>
      </c>
    </row>
    <row r="1061" spans="1:3">
      <c r="A1061" t="s">
        <v>3200</v>
      </c>
      <c r="B1061">
        <v>10830</v>
      </c>
      <c r="C1061" t="s">
        <v>3201</v>
      </c>
    </row>
    <row r="1062" spans="1:3">
      <c r="A1062" t="s">
        <v>3202</v>
      </c>
      <c r="B1062">
        <v>10840</v>
      </c>
      <c r="C1062" t="s">
        <v>3203</v>
      </c>
    </row>
    <row r="1063" spans="1:3">
      <c r="A1063" t="s">
        <v>2500</v>
      </c>
      <c r="B1063">
        <v>10880</v>
      </c>
      <c r="C1063" t="s">
        <v>2501</v>
      </c>
    </row>
    <row r="1064" spans="1:3">
      <c r="A1064" t="s">
        <v>2502</v>
      </c>
      <c r="B1064">
        <v>10881</v>
      </c>
      <c r="C1064" t="s">
        <v>2503</v>
      </c>
    </row>
    <row r="1065" spans="1:3">
      <c r="A1065" t="s">
        <v>790</v>
      </c>
      <c r="B1065">
        <v>10900</v>
      </c>
      <c r="C1065" t="s">
        <v>2504</v>
      </c>
    </row>
    <row r="1066" spans="1:3">
      <c r="A1066" t="s">
        <v>3328</v>
      </c>
      <c r="B1066">
        <v>10940</v>
      </c>
      <c r="C1066" t="s">
        <v>3329</v>
      </c>
    </row>
    <row r="1067" spans="1:3">
      <c r="A1067" t="s">
        <v>2505</v>
      </c>
      <c r="B1067">
        <v>10941</v>
      </c>
      <c r="C1067" t="s">
        <v>2506</v>
      </c>
    </row>
    <row r="1068" spans="1:3">
      <c r="A1068" t="s">
        <v>2507</v>
      </c>
      <c r="B1068">
        <v>10960</v>
      </c>
      <c r="C1068" t="s">
        <v>2508</v>
      </c>
    </row>
    <row r="1069" spans="1:3">
      <c r="A1069" t="s">
        <v>2509</v>
      </c>
      <c r="B1069">
        <v>10970</v>
      </c>
      <c r="C1069" t="s">
        <v>2510</v>
      </c>
    </row>
    <row r="1070" spans="1:3">
      <c r="A1070" t="s">
        <v>2624</v>
      </c>
      <c r="B1070">
        <v>10998</v>
      </c>
      <c r="C1070" t="s">
        <v>2625</v>
      </c>
    </row>
    <row r="1071" spans="1:3">
      <c r="A1071" t="s">
        <v>2511</v>
      </c>
      <c r="B1071">
        <v>12010</v>
      </c>
      <c r="C1071" t="s">
        <v>1461</v>
      </c>
    </row>
    <row r="1072" spans="1:3">
      <c r="A1072" t="s">
        <v>3204</v>
      </c>
      <c r="B1072">
        <v>12030</v>
      </c>
      <c r="C1072" t="s">
        <v>3205</v>
      </c>
    </row>
    <row r="1073" spans="1:3">
      <c r="A1073" t="s">
        <v>3206</v>
      </c>
      <c r="B1073">
        <v>12050</v>
      </c>
      <c r="C1073" t="s">
        <v>3207</v>
      </c>
    </row>
    <row r="1074" spans="1:3">
      <c r="A1074" t="s">
        <v>2512</v>
      </c>
      <c r="B1074">
        <v>12080</v>
      </c>
      <c r="C1074" t="s">
        <v>2513</v>
      </c>
    </row>
    <row r="1075" spans="1:3">
      <c r="A1075" t="s">
        <v>791</v>
      </c>
      <c r="B1075">
        <v>12100</v>
      </c>
      <c r="C1075" t="s">
        <v>3208</v>
      </c>
    </row>
    <row r="1076" spans="1:3">
      <c r="A1076" t="s">
        <v>3209</v>
      </c>
      <c r="B1076">
        <v>12110</v>
      </c>
      <c r="C1076" t="s">
        <v>3130</v>
      </c>
    </row>
    <row r="1077" spans="1:3">
      <c r="A1077" t="s">
        <v>3210</v>
      </c>
      <c r="B1077">
        <v>12120</v>
      </c>
      <c r="C1077" t="s">
        <v>3211</v>
      </c>
    </row>
    <row r="1078" spans="1:3">
      <c r="A1078" t="s">
        <v>3212</v>
      </c>
      <c r="B1078">
        <v>12130</v>
      </c>
      <c r="C1078" t="s">
        <v>3213</v>
      </c>
    </row>
    <row r="1079" spans="1:3">
      <c r="A1079" t="s">
        <v>3214</v>
      </c>
      <c r="B1079">
        <v>12140</v>
      </c>
      <c r="C1079" t="s">
        <v>3215</v>
      </c>
    </row>
    <row r="1080" spans="1:3">
      <c r="A1080" t="s">
        <v>3216</v>
      </c>
      <c r="B1080">
        <v>12150</v>
      </c>
      <c r="C1080" t="s">
        <v>3217</v>
      </c>
    </row>
    <row r="1081" spans="1:3">
      <c r="A1081" t="s">
        <v>3218</v>
      </c>
      <c r="B1081">
        <v>12160</v>
      </c>
      <c r="C1081" t="s">
        <v>3219</v>
      </c>
    </row>
    <row r="1082" spans="1:3">
      <c r="A1082" t="s">
        <v>3220</v>
      </c>
      <c r="B1082">
        <v>12170</v>
      </c>
      <c r="C1082" t="s">
        <v>3221</v>
      </c>
    </row>
    <row r="1083" spans="1:3">
      <c r="A1083" t="s">
        <v>3222</v>
      </c>
      <c r="B1083">
        <v>12180</v>
      </c>
      <c r="C1083" t="s">
        <v>3223</v>
      </c>
    </row>
    <row r="1084" spans="1:3">
      <c r="A1084" t="s">
        <v>792</v>
      </c>
      <c r="B1084">
        <v>12200</v>
      </c>
      <c r="C1084" t="s">
        <v>3224</v>
      </c>
    </row>
    <row r="1085" spans="1:3">
      <c r="A1085" t="s">
        <v>3225</v>
      </c>
      <c r="B1085">
        <v>12210</v>
      </c>
      <c r="C1085" t="s">
        <v>3226</v>
      </c>
    </row>
    <row r="1086" spans="1:3">
      <c r="A1086" t="s">
        <v>3227</v>
      </c>
      <c r="B1086">
        <v>12220</v>
      </c>
      <c r="C1086" t="s">
        <v>3228</v>
      </c>
    </row>
    <row r="1087" spans="1:3">
      <c r="A1087" t="s">
        <v>3229</v>
      </c>
      <c r="B1087">
        <v>12230</v>
      </c>
      <c r="C1087" t="s">
        <v>3230</v>
      </c>
    </row>
    <row r="1088" spans="1:3">
      <c r="A1088" t="s">
        <v>3231</v>
      </c>
      <c r="B1088">
        <v>12240</v>
      </c>
      <c r="C1088" t="s">
        <v>3232</v>
      </c>
    </row>
    <row r="1089" spans="1:3">
      <c r="A1089" t="s">
        <v>3233</v>
      </c>
      <c r="B1089">
        <v>12250</v>
      </c>
      <c r="C1089" t="s">
        <v>3234</v>
      </c>
    </row>
    <row r="1090" spans="1:3">
      <c r="A1090" t="s">
        <v>3235</v>
      </c>
      <c r="B1090">
        <v>12260</v>
      </c>
      <c r="C1090" t="s">
        <v>3236</v>
      </c>
    </row>
    <row r="1091" spans="1:3">
      <c r="A1091" t="s">
        <v>3237</v>
      </c>
      <c r="B1091">
        <v>12270</v>
      </c>
      <c r="C1091" t="s">
        <v>3238</v>
      </c>
    </row>
    <row r="1092" spans="1:3">
      <c r="A1092" t="s">
        <v>3239</v>
      </c>
      <c r="B1092">
        <v>12280</v>
      </c>
      <c r="C1092" t="s">
        <v>3240</v>
      </c>
    </row>
    <row r="1093" spans="1:3">
      <c r="A1093" t="s">
        <v>3241</v>
      </c>
      <c r="B1093">
        <v>12290</v>
      </c>
      <c r="C1093" t="s">
        <v>3242</v>
      </c>
    </row>
    <row r="1094" spans="1:3">
      <c r="A1094" t="s">
        <v>793</v>
      </c>
      <c r="B1094">
        <v>12300</v>
      </c>
      <c r="C1094" t="s">
        <v>3243</v>
      </c>
    </row>
    <row r="1095" spans="1:3">
      <c r="A1095" t="s">
        <v>3244</v>
      </c>
      <c r="B1095">
        <v>12310</v>
      </c>
      <c r="C1095" t="s">
        <v>3245</v>
      </c>
    </row>
    <row r="1096" spans="1:3">
      <c r="A1096" t="s">
        <v>3330</v>
      </c>
      <c r="B1096">
        <v>12320</v>
      </c>
      <c r="C1096" t="s">
        <v>3331</v>
      </c>
    </row>
    <row r="1097" spans="1:3">
      <c r="A1097" t="s">
        <v>3332</v>
      </c>
      <c r="B1097">
        <v>12330</v>
      </c>
      <c r="C1097" t="s">
        <v>3333</v>
      </c>
    </row>
    <row r="1098" spans="1:3">
      <c r="A1098" t="s">
        <v>3334</v>
      </c>
      <c r="B1098">
        <v>12340</v>
      </c>
      <c r="C1098" t="s">
        <v>3335</v>
      </c>
    </row>
    <row r="1099" spans="1:3">
      <c r="A1099" t="s">
        <v>3336</v>
      </c>
      <c r="B1099">
        <v>12350</v>
      </c>
      <c r="C1099" t="s">
        <v>3337</v>
      </c>
    </row>
    <row r="1100" spans="1:3">
      <c r="A1100" t="s">
        <v>3338</v>
      </c>
      <c r="B1100">
        <v>12360</v>
      </c>
      <c r="C1100" t="s">
        <v>3339</v>
      </c>
    </row>
    <row r="1101" spans="1:3">
      <c r="A1101" t="s">
        <v>3340</v>
      </c>
      <c r="B1101">
        <v>12370</v>
      </c>
      <c r="C1101" t="s">
        <v>3341</v>
      </c>
    </row>
    <row r="1102" spans="1:3">
      <c r="A1102" t="s">
        <v>3342</v>
      </c>
      <c r="B1102">
        <v>12380</v>
      </c>
      <c r="C1102" t="s">
        <v>3343</v>
      </c>
    </row>
    <row r="1103" spans="1:3">
      <c r="A1103" t="s">
        <v>3344</v>
      </c>
      <c r="B1103">
        <v>12390</v>
      </c>
      <c r="C1103" t="s">
        <v>3345</v>
      </c>
    </row>
    <row r="1104" spans="1:3">
      <c r="A1104" t="s">
        <v>2514</v>
      </c>
      <c r="B1104">
        <v>12400</v>
      </c>
      <c r="C1104" t="s">
        <v>2515</v>
      </c>
    </row>
    <row r="1105" spans="1:3">
      <c r="A1105" t="s">
        <v>3346</v>
      </c>
      <c r="B1105">
        <v>12410</v>
      </c>
      <c r="C1105" t="s">
        <v>3347</v>
      </c>
    </row>
    <row r="1106" spans="1:3">
      <c r="A1106" t="s">
        <v>3348</v>
      </c>
      <c r="B1106">
        <v>12420</v>
      </c>
      <c r="C1106" t="s">
        <v>3349</v>
      </c>
    </row>
    <row r="1107" spans="1:3">
      <c r="A1107" t="s">
        <v>3350</v>
      </c>
      <c r="B1107">
        <v>12430</v>
      </c>
      <c r="C1107" t="s">
        <v>3351</v>
      </c>
    </row>
    <row r="1108" spans="1:3">
      <c r="A1108" t="s">
        <v>3352</v>
      </c>
      <c r="B1108">
        <v>12440</v>
      </c>
      <c r="C1108" t="s">
        <v>3353</v>
      </c>
    </row>
    <row r="1109" spans="1:3">
      <c r="A1109" t="s">
        <v>3354</v>
      </c>
      <c r="B1109">
        <v>12450</v>
      </c>
      <c r="C1109" t="s">
        <v>3355</v>
      </c>
    </row>
    <row r="1110" spans="1:3">
      <c r="A1110" t="s">
        <v>3501</v>
      </c>
      <c r="B1110">
        <v>12460</v>
      </c>
      <c r="C1110" t="s">
        <v>3502</v>
      </c>
    </row>
    <row r="1111" spans="1:3">
      <c r="A1111" t="s">
        <v>3503</v>
      </c>
      <c r="B1111">
        <v>12480</v>
      </c>
      <c r="C1111" t="s">
        <v>3504</v>
      </c>
    </row>
    <row r="1112" spans="1:3">
      <c r="A1112" t="s">
        <v>2516</v>
      </c>
      <c r="B1112">
        <v>12490</v>
      </c>
      <c r="C1112" t="s">
        <v>2517</v>
      </c>
    </row>
    <row r="1113" spans="1:3">
      <c r="A1113" t="s">
        <v>794</v>
      </c>
      <c r="B1113">
        <v>12500</v>
      </c>
      <c r="C1113" t="s">
        <v>3356</v>
      </c>
    </row>
    <row r="1114" spans="1:3">
      <c r="A1114" t="s">
        <v>3357</v>
      </c>
      <c r="B1114">
        <v>12510</v>
      </c>
      <c r="C1114" t="s">
        <v>3358</v>
      </c>
    </row>
    <row r="1115" spans="1:3">
      <c r="A1115" t="s">
        <v>3359</v>
      </c>
      <c r="B1115">
        <v>12520</v>
      </c>
      <c r="C1115" t="s">
        <v>3360</v>
      </c>
    </row>
    <row r="1116" spans="1:3">
      <c r="A1116" t="s">
        <v>3361</v>
      </c>
      <c r="B1116">
        <v>12530</v>
      </c>
      <c r="C1116" t="s">
        <v>3362</v>
      </c>
    </row>
    <row r="1117" spans="1:3">
      <c r="A1117" t="s">
        <v>3363</v>
      </c>
      <c r="B1117">
        <v>12540</v>
      </c>
      <c r="C1117" t="s">
        <v>3364</v>
      </c>
    </row>
    <row r="1118" spans="1:3">
      <c r="A1118" t="s">
        <v>3505</v>
      </c>
      <c r="B1118">
        <v>12550</v>
      </c>
      <c r="C1118" t="s">
        <v>3506</v>
      </c>
    </row>
    <row r="1119" spans="1:3">
      <c r="A1119" t="s">
        <v>3507</v>
      </c>
      <c r="B1119">
        <v>12560</v>
      </c>
      <c r="C1119" t="s">
        <v>3508</v>
      </c>
    </row>
    <row r="1120" spans="1:3">
      <c r="A1120" t="s">
        <v>3509</v>
      </c>
      <c r="B1120">
        <v>12570</v>
      </c>
      <c r="C1120" t="s">
        <v>3510</v>
      </c>
    </row>
    <row r="1121" spans="1:3">
      <c r="A1121" t="s">
        <v>3511</v>
      </c>
      <c r="B1121">
        <v>12580</v>
      </c>
      <c r="C1121" t="s">
        <v>3512</v>
      </c>
    </row>
    <row r="1122" spans="1:3">
      <c r="A1122" t="s">
        <v>3513</v>
      </c>
      <c r="B1122">
        <v>12590</v>
      </c>
      <c r="C1122" t="s">
        <v>3514</v>
      </c>
    </row>
    <row r="1123" spans="1:3">
      <c r="A1123" t="s">
        <v>3515</v>
      </c>
      <c r="B1123">
        <v>12600</v>
      </c>
      <c r="C1123" t="s">
        <v>3516</v>
      </c>
    </row>
    <row r="1124" spans="1:3">
      <c r="A1124" t="s">
        <v>3517</v>
      </c>
      <c r="B1124">
        <v>12610</v>
      </c>
      <c r="C1124" t="s">
        <v>3518</v>
      </c>
    </row>
    <row r="1125" spans="1:3">
      <c r="A1125" t="s">
        <v>3519</v>
      </c>
      <c r="B1125">
        <v>12620</v>
      </c>
      <c r="C1125" t="s">
        <v>3520</v>
      </c>
    </row>
    <row r="1126" spans="1:3">
      <c r="A1126" t="s">
        <v>3521</v>
      </c>
      <c r="B1126">
        <v>12640</v>
      </c>
      <c r="C1126" t="s">
        <v>3522</v>
      </c>
    </row>
    <row r="1127" spans="1:3">
      <c r="A1127" t="s">
        <v>3523</v>
      </c>
      <c r="B1127">
        <v>12660</v>
      </c>
      <c r="C1127" t="s">
        <v>3524</v>
      </c>
    </row>
    <row r="1128" spans="1:3">
      <c r="A1128" t="s">
        <v>795</v>
      </c>
      <c r="B1128">
        <v>12700</v>
      </c>
      <c r="C1128" t="s">
        <v>3525</v>
      </c>
    </row>
    <row r="1129" spans="1:3">
      <c r="A1129" t="s">
        <v>3526</v>
      </c>
      <c r="B1129">
        <v>12710</v>
      </c>
      <c r="C1129" t="s">
        <v>3527</v>
      </c>
    </row>
    <row r="1130" spans="1:3">
      <c r="A1130" t="s">
        <v>796</v>
      </c>
      <c r="B1130">
        <v>12800</v>
      </c>
      <c r="C1130" t="s">
        <v>3528</v>
      </c>
    </row>
    <row r="1131" spans="1:3">
      <c r="A1131" t="s">
        <v>3529</v>
      </c>
      <c r="B1131">
        <v>12830</v>
      </c>
      <c r="C1131" t="s">
        <v>3530</v>
      </c>
    </row>
    <row r="1132" spans="1:3">
      <c r="A1132" t="s">
        <v>2518</v>
      </c>
      <c r="B1132">
        <v>12840</v>
      </c>
      <c r="C1132" t="s">
        <v>2519</v>
      </c>
    </row>
    <row r="1133" spans="1:3">
      <c r="A1133" t="s">
        <v>797</v>
      </c>
      <c r="B1133">
        <v>12900</v>
      </c>
      <c r="C1133" t="s">
        <v>2520</v>
      </c>
    </row>
    <row r="1134" spans="1:3">
      <c r="A1134" t="s">
        <v>2521</v>
      </c>
      <c r="B1134">
        <v>12920</v>
      </c>
      <c r="C1134" t="s">
        <v>2522</v>
      </c>
    </row>
    <row r="1135" spans="1:3">
      <c r="A1135" t="s">
        <v>3531</v>
      </c>
      <c r="B1135">
        <v>12930</v>
      </c>
      <c r="C1135" t="s">
        <v>3532</v>
      </c>
    </row>
    <row r="1136" spans="1:3">
      <c r="A1136" t="s">
        <v>3533</v>
      </c>
      <c r="B1136">
        <v>12940</v>
      </c>
      <c r="C1136" t="s">
        <v>3534</v>
      </c>
    </row>
    <row r="1137" spans="1:3">
      <c r="A1137" t="s">
        <v>3535</v>
      </c>
      <c r="B1137">
        <v>12950</v>
      </c>
      <c r="C1137" t="s">
        <v>3536</v>
      </c>
    </row>
    <row r="1138" spans="1:3">
      <c r="A1138" t="s">
        <v>3537</v>
      </c>
      <c r="B1138">
        <v>12960</v>
      </c>
      <c r="C1138" t="s">
        <v>3538</v>
      </c>
    </row>
    <row r="1139" spans="1:3">
      <c r="A1139" t="s">
        <v>3539</v>
      </c>
      <c r="B1139">
        <v>12970</v>
      </c>
      <c r="C1139" t="s">
        <v>3540</v>
      </c>
    </row>
    <row r="1140" spans="1:3">
      <c r="A1140" t="s">
        <v>3541</v>
      </c>
      <c r="B1140">
        <v>12980</v>
      </c>
      <c r="C1140" t="s">
        <v>3542</v>
      </c>
    </row>
    <row r="1141" spans="1:3">
      <c r="A1141" t="s">
        <v>3543</v>
      </c>
      <c r="B1141">
        <v>12990</v>
      </c>
      <c r="C1141" t="s">
        <v>3544</v>
      </c>
    </row>
    <row r="1142" spans="1:3">
      <c r="A1142" t="s">
        <v>2523</v>
      </c>
      <c r="B1142">
        <v>13020</v>
      </c>
      <c r="C1142" t="s">
        <v>2524</v>
      </c>
    </row>
    <row r="1143" spans="1:3">
      <c r="A1143" t="s">
        <v>2525</v>
      </c>
      <c r="B1143">
        <v>13021</v>
      </c>
      <c r="C1143" t="s">
        <v>2526</v>
      </c>
    </row>
    <row r="1144" spans="1:3">
      <c r="A1144" t="s">
        <v>2527</v>
      </c>
      <c r="B1144">
        <v>13022</v>
      </c>
      <c r="C1144" t="s">
        <v>2528</v>
      </c>
    </row>
    <row r="1145" spans="1:3">
      <c r="A1145" t="s">
        <v>2529</v>
      </c>
      <c r="B1145">
        <v>13025</v>
      </c>
      <c r="C1145" t="s">
        <v>2530</v>
      </c>
    </row>
    <row r="1146" spans="1:3">
      <c r="A1146" t="s">
        <v>2531</v>
      </c>
      <c r="B1146">
        <v>15000</v>
      </c>
      <c r="C1146" t="s">
        <v>2532</v>
      </c>
    </row>
    <row r="1147" spans="1:3">
      <c r="A1147" t="s">
        <v>2533</v>
      </c>
      <c r="B1147">
        <v>15001</v>
      </c>
      <c r="C1147" t="s">
        <v>2534</v>
      </c>
    </row>
    <row r="1148" spans="1:3">
      <c r="A1148" t="s">
        <v>2535</v>
      </c>
      <c r="B1148">
        <v>15002</v>
      </c>
      <c r="C1148" t="s">
        <v>2536</v>
      </c>
    </row>
    <row r="1149" spans="1:3">
      <c r="A1149" t="s">
        <v>2537</v>
      </c>
      <c r="B1149">
        <v>15003</v>
      </c>
      <c r="C1149" t="s">
        <v>2538</v>
      </c>
    </row>
  </sheetData>
  <customSheetViews>
    <customSheetView guid="{354F272F-821B-473B-9CC5-4001AD879606}">
      <selection activeCell="G36" sqref="G36"/>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28"/>
  <sheetViews>
    <sheetView workbookViewId="0">
      <selection activeCell="A11" sqref="A11:H11"/>
    </sheetView>
  </sheetViews>
  <sheetFormatPr defaultColWidth="9.140625" defaultRowHeight="12.75"/>
  <cols>
    <col min="1" max="1" width="58.42578125" style="654" bestFit="1" customWidth="1"/>
    <col min="2" max="2" width="13.85546875" style="47" bestFit="1" customWidth="1"/>
    <col min="3" max="3" width="12.85546875" style="47" bestFit="1" customWidth="1"/>
    <col min="4" max="4" width="17.28515625" style="47" bestFit="1" customWidth="1"/>
    <col min="5" max="5" width="15.5703125" style="47" customWidth="1"/>
    <col min="6" max="6" width="13.28515625" style="47" customWidth="1"/>
    <col min="7" max="7" width="19.7109375" style="47" bestFit="1" customWidth="1"/>
    <col min="8" max="8" width="13.7109375" style="47" customWidth="1"/>
    <col min="9" max="9" width="9.140625" style="47"/>
    <col min="10" max="10" width="4.7109375" style="47" customWidth="1"/>
    <col min="11" max="11" width="13.42578125" style="47" hidden="1" customWidth="1"/>
    <col min="12" max="12" width="16.7109375" style="47" hidden="1" customWidth="1"/>
    <col min="13" max="13" width="11.5703125" style="47" hidden="1" customWidth="1"/>
    <col min="14" max="14" width="0" style="47" hidden="1" customWidth="1"/>
    <col min="15" max="16384" width="9.140625" style="47"/>
  </cols>
  <sheetData>
    <row r="1" spans="1:15" s="46" customFormat="1" ht="78.75" customHeight="1">
      <c r="A1" s="652" t="s">
        <v>3547</v>
      </c>
      <c r="B1" s="45" t="s">
        <v>422</v>
      </c>
      <c r="C1" s="45" t="s">
        <v>330</v>
      </c>
      <c r="D1" s="45" t="s">
        <v>121</v>
      </c>
      <c r="E1" s="45" t="s">
        <v>276</v>
      </c>
      <c r="F1" s="45" t="s">
        <v>129</v>
      </c>
      <c r="G1" s="45" t="s">
        <v>130</v>
      </c>
      <c r="H1" s="45" t="s">
        <v>122</v>
      </c>
      <c r="I1" s="59" t="s">
        <v>329</v>
      </c>
      <c r="K1" s="45" t="s">
        <v>354</v>
      </c>
      <c r="L1" s="45" t="s">
        <v>490</v>
      </c>
      <c r="M1" s="45" t="s">
        <v>237</v>
      </c>
    </row>
    <row r="2" spans="1:15" s="66" customFormat="1">
      <c r="A2" s="721" t="s">
        <v>498</v>
      </c>
      <c r="B2" s="49">
        <v>9492886</v>
      </c>
      <c r="C2" s="49">
        <v>10400</v>
      </c>
      <c r="D2" s="87">
        <f t="shared" ref="D2:D23" si="0">SUM(B2:C2)</f>
        <v>9503286</v>
      </c>
      <c r="E2" s="87">
        <v>0</v>
      </c>
      <c r="F2" s="87">
        <v>0</v>
      </c>
      <c r="G2" s="87">
        <f>D2+E2+F2</f>
        <v>9503286</v>
      </c>
      <c r="H2" s="108" t="s">
        <v>123</v>
      </c>
      <c r="I2" s="87" t="s">
        <v>2651</v>
      </c>
      <c r="K2" s="66">
        <v>0</v>
      </c>
      <c r="L2" s="66">
        <v>0</v>
      </c>
      <c r="M2" s="66">
        <v>0</v>
      </c>
      <c r="O2" s="49"/>
    </row>
    <row r="3" spans="1:15" s="66" customFormat="1">
      <c r="A3" s="721" t="s">
        <v>499</v>
      </c>
      <c r="B3" s="49">
        <v>268054</v>
      </c>
      <c r="C3" s="49">
        <v>-54124</v>
      </c>
      <c r="D3" s="87">
        <f t="shared" si="0"/>
        <v>213930</v>
      </c>
      <c r="E3" s="87">
        <v>0</v>
      </c>
      <c r="F3" s="87">
        <v>0</v>
      </c>
      <c r="G3" s="87">
        <f>D3+E3+F3</f>
        <v>213930</v>
      </c>
      <c r="H3" s="108" t="s">
        <v>123</v>
      </c>
      <c r="I3" s="87" t="s">
        <v>2650</v>
      </c>
      <c r="K3" s="66">
        <v>0</v>
      </c>
      <c r="L3" s="66">
        <v>0</v>
      </c>
      <c r="M3" s="66">
        <v>0</v>
      </c>
    </row>
    <row r="4" spans="1:15" s="66" customFormat="1">
      <c r="A4" s="721" t="s">
        <v>2560</v>
      </c>
      <c r="B4" s="49">
        <v>165033</v>
      </c>
      <c r="C4" s="49">
        <v>0</v>
      </c>
      <c r="D4" s="87">
        <f t="shared" si="0"/>
        <v>165033</v>
      </c>
      <c r="E4" s="87">
        <v>0</v>
      </c>
      <c r="F4" s="87">
        <v>0</v>
      </c>
      <c r="G4" s="87">
        <f t="shared" ref="G4:G18" si="1">D4+E4+F4</f>
        <v>165033</v>
      </c>
      <c r="H4" s="108" t="s">
        <v>123</v>
      </c>
      <c r="I4" s="87" t="s">
        <v>2652</v>
      </c>
    </row>
    <row r="5" spans="1:15" s="66" customFormat="1">
      <c r="A5" s="721" t="s">
        <v>109</v>
      </c>
      <c r="B5" s="49">
        <v>3815268</v>
      </c>
      <c r="C5" s="49">
        <v>-1725</v>
      </c>
      <c r="D5" s="87">
        <f t="shared" si="0"/>
        <v>3813543</v>
      </c>
      <c r="E5" s="87">
        <v>0</v>
      </c>
      <c r="F5" s="87">
        <v>0</v>
      </c>
      <c r="G5" s="87">
        <f t="shared" si="1"/>
        <v>3813543</v>
      </c>
      <c r="H5" s="108" t="s">
        <v>123</v>
      </c>
      <c r="I5" s="87" t="s">
        <v>2653</v>
      </c>
      <c r="K5" s="66">
        <v>0</v>
      </c>
      <c r="L5" s="66">
        <v>0</v>
      </c>
      <c r="M5" s="66">
        <v>0</v>
      </c>
    </row>
    <row r="6" spans="1:15" s="66" customFormat="1">
      <c r="A6" s="721" t="s">
        <v>59</v>
      </c>
      <c r="B6" s="49">
        <v>2901114</v>
      </c>
      <c r="C6" s="49">
        <v>-375774</v>
      </c>
      <c r="D6" s="87">
        <f t="shared" si="0"/>
        <v>2525340</v>
      </c>
      <c r="E6" s="87">
        <v>0</v>
      </c>
      <c r="F6" s="87">
        <v>0</v>
      </c>
      <c r="G6" s="87">
        <f t="shared" ref="G6:G15" si="2">D6+E6+F6</f>
        <v>2525340</v>
      </c>
      <c r="H6" s="108" t="s">
        <v>123</v>
      </c>
      <c r="I6" s="87" t="s">
        <v>2654</v>
      </c>
      <c r="K6" s="66">
        <v>0</v>
      </c>
      <c r="L6" s="66">
        <v>0</v>
      </c>
      <c r="M6" s="66">
        <v>0</v>
      </c>
    </row>
    <row r="7" spans="1:15" s="66" customFormat="1">
      <c r="A7" s="721" t="s">
        <v>497</v>
      </c>
      <c r="B7" s="49">
        <v>277957</v>
      </c>
      <c r="C7" s="49">
        <v>0</v>
      </c>
      <c r="D7" s="87">
        <f t="shared" si="0"/>
        <v>277957</v>
      </c>
      <c r="E7" s="87"/>
      <c r="F7" s="87">
        <v>0</v>
      </c>
      <c r="G7" s="87">
        <f t="shared" si="2"/>
        <v>277957</v>
      </c>
      <c r="H7" s="108" t="s">
        <v>123</v>
      </c>
      <c r="I7" s="87" t="s">
        <v>2655</v>
      </c>
      <c r="K7" s="66">
        <v>0</v>
      </c>
      <c r="L7" s="66">
        <v>0</v>
      </c>
      <c r="M7" s="66">
        <v>0</v>
      </c>
    </row>
    <row r="8" spans="1:15" s="66" customFormat="1">
      <c r="A8" s="721" t="s">
        <v>2556</v>
      </c>
      <c r="B8" s="49">
        <v>936455</v>
      </c>
      <c r="C8" s="49">
        <v>0</v>
      </c>
      <c r="D8" s="87">
        <f t="shared" si="0"/>
        <v>936455</v>
      </c>
      <c r="E8" s="87">
        <v>0</v>
      </c>
      <c r="F8" s="87">
        <v>0</v>
      </c>
      <c r="G8" s="87">
        <f t="shared" si="2"/>
        <v>936455</v>
      </c>
      <c r="H8" s="108" t="s">
        <v>123</v>
      </c>
      <c r="I8" s="87" t="s">
        <v>2656</v>
      </c>
      <c r="K8" s="66">
        <v>0</v>
      </c>
      <c r="L8" s="66">
        <v>0</v>
      </c>
      <c r="M8" s="66">
        <v>0</v>
      </c>
    </row>
    <row r="9" spans="1:15" s="66" customFormat="1">
      <c r="A9" s="721" t="s">
        <v>267</v>
      </c>
      <c r="B9" s="49">
        <v>2918797</v>
      </c>
      <c r="C9" s="49">
        <v>20355</v>
      </c>
      <c r="D9" s="87">
        <f t="shared" si="0"/>
        <v>2939152</v>
      </c>
      <c r="E9" s="87">
        <v>0</v>
      </c>
      <c r="F9" s="87">
        <v>0</v>
      </c>
      <c r="G9" s="87">
        <f t="shared" si="2"/>
        <v>2939152</v>
      </c>
      <c r="H9" s="108" t="s">
        <v>123</v>
      </c>
      <c r="I9" s="87" t="s">
        <v>2657</v>
      </c>
    </row>
    <row r="10" spans="1:15" s="66" customFormat="1">
      <c r="A10" s="721" t="s">
        <v>268</v>
      </c>
      <c r="B10" s="49">
        <v>6202672</v>
      </c>
      <c r="C10" s="49">
        <v>0</v>
      </c>
      <c r="D10" s="87">
        <f t="shared" si="0"/>
        <v>6202672</v>
      </c>
      <c r="E10" s="87">
        <v>0</v>
      </c>
      <c r="F10" s="87">
        <v>0</v>
      </c>
      <c r="G10" s="87">
        <f t="shared" si="2"/>
        <v>6202672</v>
      </c>
      <c r="H10" s="108" t="s">
        <v>123</v>
      </c>
      <c r="I10" s="87" t="s">
        <v>2658</v>
      </c>
    </row>
    <row r="11" spans="1:15" s="66" customFormat="1" ht="13.5" customHeight="1">
      <c r="A11" s="721" t="s">
        <v>521</v>
      </c>
      <c r="B11" s="49">
        <v>6887978</v>
      </c>
      <c r="C11" s="49">
        <v>-1156007</v>
      </c>
      <c r="D11" s="87">
        <f t="shared" si="0"/>
        <v>5731971</v>
      </c>
      <c r="E11" s="87">
        <v>0</v>
      </c>
      <c r="F11" s="87">
        <v>0</v>
      </c>
      <c r="G11" s="87">
        <f t="shared" si="2"/>
        <v>5731971</v>
      </c>
      <c r="H11" s="108" t="s">
        <v>123</v>
      </c>
      <c r="I11" s="87" t="s">
        <v>2659</v>
      </c>
      <c r="K11" s="66">
        <v>0</v>
      </c>
      <c r="L11" s="66">
        <v>0</v>
      </c>
      <c r="M11" s="66">
        <v>0</v>
      </c>
    </row>
    <row r="12" spans="1:15" s="66" customFormat="1">
      <c r="A12" s="721" t="s">
        <v>494</v>
      </c>
      <c r="B12" s="49">
        <v>0</v>
      </c>
      <c r="C12" s="49">
        <v>0</v>
      </c>
      <c r="D12" s="87">
        <f t="shared" si="0"/>
        <v>0</v>
      </c>
      <c r="E12" s="87">
        <v>0</v>
      </c>
      <c r="F12" s="87">
        <v>0</v>
      </c>
      <c r="G12" s="87">
        <f t="shared" si="2"/>
        <v>0</v>
      </c>
      <c r="H12" s="108" t="s">
        <v>123</v>
      </c>
      <c r="I12" s="87" t="s">
        <v>2660</v>
      </c>
      <c r="K12" s="66">
        <v>0</v>
      </c>
      <c r="L12" s="66">
        <v>0</v>
      </c>
      <c r="M12" s="66">
        <v>0</v>
      </c>
    </row>
    <row r="13" spans="1:15" s="66" customFormat="1">
      <c r="A13" s="721" t="s">
        <v>493</v>
      </c>
      <c r="B13" s="49">
        <v>6</v>
      </c>
      <c r="C13" s="49">
        <v>0</v>
      </c>
      <c r="D13" s="87">
        <f t="shared" si="0"/>
        <v>6</v>
      </c>
      <c r="E13" s="87">
        <v>0</v>
      </c>
      <c r="F13" s="87">
        <v>0</v>
      </c>
      <c r="G13" s="87">
        <f t="shared" si="2"/>
        <v>6</v>
      </c>
      <c r="H13" s="108" t="s">
        <v>123</v>
      </c>
      <c r="I13" s="87" t="s">
        <v>2661</v>
      </c>
      <c r="K13" s="66">
        <v>0</v>
      </c>
      <c r="L13" s="66">
        <v>0</v>
      </c>
      <c r="M13" s="66">
        <v>0</v>
      </c>
    </row>
    <row r="14" spans="1:15" s="66" customFormat="1">
      <c r="A14" s="721" t="s">
        <v>495</v>
      </c>
      <c r="B14" s="49">
        <v>2518</v>
      </c>
      <c r="C14" s="49">
        <v>0</v>
      </c>
      <c r="D14" s="87">
        <f t="shared" si="0"/>
        <v>2518</v>
      </c>
      <c r="E14" s="87">
        <v>0</v>
      </c>
      <c r="F14" s="87">
        <v>0</v>
      </c>
      <c r="G14" s="87">
        <f t="shared" si="2"/>
        <v>2518</v>
      </c>
      <c r="H14" s="108" t="s">
        <v>123</v>
      </c>
      <c r="I14" s="87" t="s">
        <v>2662</v>
      </c>
      <c r="K14" s="66">
        <v>0</v>
      </c>
      <c r="L14" s="66">
        <v>0</v>
      </c>
      <c r="M14" s="66">
        <v>0</v>
      </c>
    </row>
    <row r="15" spans="1:15" s="48" customFormat="1">
      <c r="A15" s="721" t="s">
        <v>254</v>
      </c>
      <c r="B15" s="49">
        <v>520985</v>
      </c>
      <c r="C15" s="49">
        <v>-379756</v>
      </c>
      <c r="D15" s="87">
        <f t="shared" si="0"/>
        <v>141229</v>
      </c>
      <c r="E15" s="87">
        <v>0</v>
      </c>
      <c r="F15" s="87">
        <v>0</v>
      </c>
      <c r="G15" s="87">
        <f t="shared" si="2"/>
        <v>141229</v>
      </c>
      <c r="H15" s="108" t="s">
        <v>123</v>
      </c>
      <c r="I15" s="87" t="s">
        <v>2663</v>
      </c>
    </row>
    <row r="16" spans="1:15" s="66" customFormat="1">
      <c r="A16" s="721" t="s">
        <v>496</v>
      </c>
      <c r="B16" s="49">
        <v>38446</v>
      </c>
      <c r="C16" s="49">
        <v>0</v>
      </c>
      <c r="D16" s="87">
        <f t="shared" si="0"/>
        <v>38446</v>
      </c>
      <c r="E16" s="87">
        <v>0</v>
      </c>
      <c r="F16" s="87">
        <v>0</v>
      </c>
      <c r="G16" s="87">
        <f>D16+E16+F16</f>
        <v>38446</v>
      </c>
      <c r="H16" s="108" t="s">
        <v>123</v>
      </c>
      <c r="I16" s="87" t="s">
        <v>469</v>
      </c>
      <c r="K16" s="66">
        <v>0</v>
      </c>
      <c r="L16" s="66">
        <v>0</v>
      </c>
      <c r="M16" s="66">
        <v>0</v>
      </c>
    </row>
    <row r="17" spans="1:13" s="66" customFormat="1">
      <c r="A17" s="721" t="s">
        <v>753</v>
      </c>
      <c r="B17" s="632">
        <v>5768216</v>
      </c>
      <c r="C17" s="49">
        <v>0</v>
      </c>
      <c r="D17" s="87">
        <f t="shared" si="0"/>
        <v>5768216</v>
      </c>
      <c r="E17" s="87">
        <v>0</v>
      </c>
      <c r="F17" s="87">
        <v>0</v>
      </c>
      <c r="G17" s="87">
        <f t="shared" si="1"/>
        <v>5768216</v>
      </c>
      <c r="H17" s="108" t="s">
        <v>123</v>
      </c>
      <c r="I17" s="87" t="s">
        <v>469</v>
      </c>
      <c r="K17" s="66">
        <v>0</v>
      </c>
      <c r="L17" s="66">
        <v>0</v>
      </c>
      <c r="M17" s="66">
        <v>0</v>
      </c>
    </row>
    <row r="18" spans="1:13" s="66" customFormat="1">
      <c r="A18" s="721" t="s">
        <v>319</v>
      </c>
      <c r="B18" s="633">
        <v>2258198</v>
      </c>
      <c r="C18" s="49">
        <v>0</v>
      </c>
      <c r="D18" s="87">
        <f t="shared" si="0"/>
        <v>2258198</v>
      </c>
      <c r="E18" s="87">
        <v>0</v>
      </c>
      <c r="F18" s="87">
        <v>0</v>
      </c>
      <c r="G18" s="87">
        <f t="shared" si="1"/>
        <v>2258198</v>
      </c>
      <c r="H18" s="108" t="s">
        <v>123</v>
      </c>
      <c r="I18" s="87" t="s">
        <v>469</v>
      </c>
      <c r="K18" s="66">
        <v>0</v>
      </c>
      <c r="L18" s="66">
        <v>0</v>
      </c>
      <c r="M18" s="66">
        <v>0</v>
      </c>
    </row>
    <row r="19" spans="1:13" s="66" customFormat="1">
      <c r="A19" s="721" t="s">
        <v>320</v>
      </c>
      <c r="B19" s="49">
        <v>135852</v>
      </c>
      <c r="C19" s="49">
        <v>0</v>
      </c>
      <c r="D19" s="87">
        <f t="shared" si="0"/>
        <v>135852</v>
      </c>
      <c r="E19" s="87">
        <v>0</v>
      </c>
      <c r="F19" s="87">
        <v>0</v>
      </c>
      <c r="G19" s="87">
        <f>D19+E19+F19</f>
        <v>135852</v>
      </c>
      <c r="H19" s="108" t="s">
        <v>123</v>
      </c>
      <c r="I19" s="87" t="s">
        <v>270</v>
      </c>
      <c r="K19" s="66">
        <v>0</v>
      </c>
      <c r="L19" s="66">
        <v>0</v>
      </c>
      <c r="M19" s="66">
        <v>0</v>
      </c>
    </row>
    <row r="20" spans="1:13" s="66" customFormat="1">
      <c r="A20" s="721" t="s">
        <v>2887</v>
      </c>
      <c r="B20" s="49">
        <v>0</v>
      </c>
      <c r="C20" s="49">
        <v>0</v>
      </c>
      <c r="D20" s="87">
        <f t="shared" si="0"/>
        <v>0</v>
      </c>
      <c r="E20" s="87">
        <v>0</v>
      </c>
      <c r="F20" s="87">
        <v>0</v>
      </c>
      <c r="G20" s="87">
        <f t="shared" ref="G20:G23" si="3">D20+E20+F20</f>
        <v>0</v>
      </c>
      <c r="H20" s="108" t="s">
        <v>123</v>
      </c>
      <c r="I20" s="87" t="s">
        <v>2900</v>
      </c>
    </row>
    <row r="21" spans="1:13" s="66" customFormat="1">
      <c r="A21" s="721" t="s">
        <v>2886</v>
      </c>
      <c r="B21" s="49">
        <v>264</v>
      </c>
      <c r="C21" s="49">
        <v>0</v>
      </c>
      <c r="D21" s="87">
        <f t="shared" si="0"/>
        <v>264</v>
      </c>
      <c r="E21" s="87">
        <v>0</v>
      </c>
      <c r="F21" s="87">
        <v>0</v>
      </c>
      <c r="G21" s="87">
        <f t="shared" si="3"/>
        <v>264</v>
      </c>
      <c r="H21" s="108" t="s">
        <v>123</v>
      </c>
      <c r="I21" s="87" t="s">
        <v>2899</v>
      </c>
    </row>
    <row r="22" spans="1:13" s="66" customFormat="1">
      <c r="A22" s="721" t="s">
        <v>3101</v>
      </c>
      <c r="B22" s="49">
        <v>0</v>
      </c>
      <c r="C22" s="49">
        <v>0</v>
      </c>
      <c r="D22" s="87">
        <f t="shared" si="0"/>
        <v>0</v>
      </c>
      <c r="E22" s="87">
        <v>0</v>
      </c>
      <c r="F22" s="87">
        <v>0</v>
      </c>
      <c r="G22" s="87">
        <f t="shared" si="3"/>
        <v>0</v>
      </c>
      <c r="H22" s="108" t="s">
        <v>123</v>
      </c>
      <c r="I22" s="87" t="s">
        <v>2897</v>
      </c>
    </row>
    <row r="23" spans="1:13" s="66" customFormat="1">
      <c r="A23" s="721" t="s">
        <v>2888</v>
      </c>
      <c r="B23" s="49">
        <v>0</v>
      </c>
      <c r="C23" s="49">
        <v>0</v>
      </c>
      <c r="D23" s="87">
        <f t="shared" si="0"/>
        <v>0</v>
      </c>
      <c r="E23" s="87">
        <v>0</v>
      </c>
      <c r="F23" s="87">
        <v>0</v>
      </c>
      <c r="G23" s="87">
        <f t="shared" si="3"/>
        <v>0</v>
      </c>
      <c r="H23" s="108" t="s">
        <v>123</v>
      </c>
      <c r="I23" s="87" t="s">
        <v>2898</v>
      </c>
    </row>
    <row r="24" spans="1:13" s="66" customFormat="1">
      <c r="A24" s="653"/>
      <c r="B24" s="49"/>
      <c r="C24" s="49"/>
      <c r="D24" s="87"/>
      <c r="E24" s="87"/>
      <c r="F24" s="87"/>
      <c r="G24" s="87"/>
      <c r="H24" s="108"/>
      <c r="I24" s="87"/>
    </row>
    <row r="25" spans="1:13" s="66" customFormat="1">
      <c r="A25" s="653"/>
      <c r="B25" s="49"/>
      <c r="C25" s="49"/>
      <c r="D25" s="87"/>
      <c r="E25" s="87"/>
      <c r="F25" s="87"/>
      <c r="G25" s="87"/>
      <c r="H25" s="108"/>
      <c r="I25" s="87"/>
    </row>
    <row r="26" spans="1:13" s="66" customFormat="1">
      <c r="A26" s="653"/>
      <c r="B26" s="49"/>
      <c r="C26" s="49"/>
      <c r="D26" s="87"/>
      <c r="E26" s="87"/>
      <c r="F26" s="87"/>
      <c r="G26" s="87"/>
      <c r="H26" s="108"/>
      <c r="I26" s="87"/>
    </row>
    <row r="27" spans="1:13" s="66" customFormat="1">
      <c r="A27" s="653"/>
      <c r="B27" s="49"/>
      <c r="C27" s="49"/>
      <c r="D27" s="87"/>
      <c r="E27" s="87"/>
      <c r="F27" s="87"/>
      <c r="G27" s="87"/>
      <c r="H27" s="108"/>
      <c r="I27" s="87"/>
    </row>
    <row r="28" spans="1:13" s="66" customFormat="1">
      <c r="A28" s="653"/>
      <c r="B28" s="49"/>
      <c r="C28" s="49"/>
      <c r="D28" s="87"/>
      <c r="E28" s="87"/>
      <c r="F28" s="87"/>
      <c r="G28" s="87"/>
      <c r="H28" s="108"/>
      <c r="I28" s="87"/>
    </row>
  </sheetData>
  <customSheetViews>
    <customSheetView guid="{354F272F-821B-473B-9CC5-4001AD879606}" hiddenRows="1">
      <selection activeCell="D14" sqref="D14"/>
      <pageMargins left="0.75" right="0.75" top="1" bottom="1" header="0.5" footer="0.5"/>
      <printOptions gridLines="1"/>
      <pageSetup paperSize="5" scale="60" orientation="landscape" r:id="rId1"/>
      <headerFooter alignWithMargins="0"/>
    </customSheetView>
  </customSheetViews>
  <phoneticPr fontId="40" type="noConversion"/>
  <dataValidations count="1">
    <dataValidation allowBlank="1" sqref="B17" xr:uid="{00000000-0002-0000-0200-000000000000}"/>
  </dataValidations>
  <printOptions gridLines="1"/>
  <pageMargins left="0.75" right="0.75" top="1" bottom="1" header="0.5" footer="0.5"/>
  <pageSetup scale="60" orientation="landscape" r:id="rId2"/>
  <headerFooter alignWithMargins="0">
    <oddFooter>&amp;L&amp;Z&amp;F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F173"/>
  <sheetViews>
    <sheetView view="pageBreakPreview" zoomScale="80" zoomScaleNormal="100" zoomScaleSheetLayoutView="80" workbookViewId="0">
      <pane xSplit="4" ySplit="1" topLeftCell="E2" activePane="bottomRight" state="frozen"/>
      <selection activeCell="A11" sqref="A11:H11"/>
      <selection pane="topRight" activeCell="A11" sqref="A11:H11"/>
      <selection pane="bottomLeft" activeCell="A11" sqref="A11:H11"/>
      <selection pane="bottomRight" activeCell="A11" sqref="A11:H11"/>
    </sheetView>
  </sheetViews>
  <sheetFormatPr defaultColWidth="9.140625" defaultRowHeight="15"/>
  <cols>
    <col min="1" max="1" width="3" style="667" customWidth="1"/>
    <col min="2" max="2" width="4.85546875" style="667" customWidth="1"/>
    <col min="3" max="3" width="59.28515625" style="667" customWidth="1"/>
    <col min="4" max="4" width="3.7109375" style="667" customWidth="1"/>
    <col min="5" max="6" width="17.85546875" style="712" bestFit="1" customWidth="1"/>
    <col min="7" max="7" width="20.85546875" style="667" bestFit="1" customWidth="1"/>
    <col min="8" max="8" width="15.7109375" style="667" customWidth="1"/>
    <col min="9" max="13" width="15.7109375" style="712" customWidth="1"/>
    <col min="14" max="14" width="13.28515625" style="712" hidden="1" customWidth="1"/>
    <col min="15" max="19" width="16.7109375" style="712" customWidth="1"/>
    <col min="20" max="20" width="11.140625" style="712" hidden="1" customWidth="1"/>
    <col min="21" max="21" width="19.42578125" style="712" customWidth="1"/>
    <col min="22" max="23" width="13.28515625" style="712" hidden="1" customWidth="1"/>
    <col min="24" max="24" width="16.140625" style="667" customWidth="1"/>
    <col min="25" max="25" width="16.140625" style="712" customWidth="1"/>
    <col min="26" max="30" width="16.140625" style="667" customWidth="1"/>
    <col min="31" max="31" width="13.28515625" style="667" hidden="1" customWidth="1"/>
    <col min="32" max="33" width="2.7109375" style="667" customWidth="1"/>
    <col min="34" max="35" width="9.140625" style="667"/>
    <col min="36" max="36" width="57.28515625" style="667" bestFit="1" customWidth="1"/>
    <col min="37" max="16384" width="9.140625" style="667"/>
  </cols>
  <sheetData>
    <row r="1" spans="1:32" s="665" customFormat="1" ht="127.9" customHeight="1" thickBot="1">
      <c r="A1" s="887" t="s">
        <v>3546</v>
      </c>
      <c r="B1" s="887"/>
      <c r="C1" s="887"/>
      <c r="D1" s="662">
        <v>1</v>
      </c>
      <c r="E1" s="663" t="s">
        <v>498</v>
      </c>
      <c r="F1" s="663" t="s">
        <v>499</v>
      </c>
      <c r="G1" s="663" t="s">
        <v>2560</v>
      </c>
      <c r="H1" s="663" t="s">
        <v>109</v>
      </c>
      <c r="I1" s="663" t="s">
        <v>59</v>
      </c>
      <c r="J1" s="663" t="s">
        <v>497</v>
      </c>
      <c r="K1" s="663" t="s">
        <v>2556</v>
      </c>
      <c r="L1" s="663" t="s">
        <v>267</v>
      </c>
      <c r="M1" s="663" t="s">
        <v>268</v>
      </c>
      <c r="N1" s="663" t="s">
        <v>120</v>
      </c>
      <c r="O1" s="663" t="s">
        <v>521</v>
      </c>
      <c r="P1" s="663" t="s">
        <v>494</v>
      </c>
      <c r="Q1" s="663" t="s">
        <v>493</v>
      </c>
      <c r="R1" s="663" t="s">
        <v>495</v>
      </c>
      <c r="S1" s="663" t="s">
        <v>254</v>
      </c>
      <c r="T1" s="663" t="s">
        <v>107</v>
      </c>
      <c r="U1" s="663" t="s">
        <v>496</v>
      </c>
      <c r="V1" s="663" t="s">
        <v>523</v>
      </c>
      <c r="W1" s="663" t="s">
        <v>492</v>
      </c>
      <c r="X1" s="663" t="s">
        <v>753</v>
      </c>
      <c r="Y1" s="663" t="s">
        <v>319</v>
      </c>
      <c r="Z1" s="663" t="s">
        <v>320</v>
      </c>
      <c r="AA1" s="663" t="s">
        <v>2887</v>
      </c>
      <c r="AB1" s="663" t="s">
        <v>2886</v>
      </c>
      <c r="AC1" s="663" t="s">
        <v>3099</v>
      </c>
      <c r="AD1" s="663" t="s">
        <v>2888</v>
      </c>
      <c r="AE1" s="664" t="s">
        <v>111</v>
      </c>
    </row>
    <row r="2" spans="1:32" ht="15.75">
      <c r="A2" s="666" t="s">
        <v>363</v>
      </c>
      <c r="D2" s="667">
        <v>2</v>
      </c>
      <c r="E2" s="667"/>
      <c r="F2" s="667"/>
      <c r="I2" s="667"/>
      <c r="J2" s="667"/>
      <c r="K2" s="667"/>
      <c r="L2" s="667"/>
      <c r="M2" s="667"/>
      <c r="N2" s="667"/>
      <c r="O2" s="667"/>
      <c r="P2" s="667"/>
      <c r="Q2" s="667"/>
      <c r="R2" s="667"/>
      <c r="S2" s="667"/>
      <c r="T2" s="667"/>
      <c r="U2" s="667"/>
      <c r="V2" s="667"/>
      <c r="W2" s="667"/>
      <c r="Y2" s="667"/>
    </row>
    <row r="3" spans="1:32">
      <c r="B3" s="667" t="s">
        <v>457</v>
      </c>
      <c r="D3" s="667">
        <v>3</v>
      </c>
      <c r="E3" s="668">
        <v>0</v>
      </c>
      <c r="F3" s="668">
        <v>0</v>
      </c>
      <c r="G3" s="668">
        <v>0</v>
      </c>
      <c r="H3" s="668">
        <v>0</v>
      </c>
      <c r="I3" s="668">
        <v>0</v>
      </c>
      <c r="J3" s="668">
        <v>0</v>
      </c>
      <c r="K3" s="668">
        <v>0</v>
      </c>
      <c r="L3" s="668">
        <v>0</v>
      </c>
      <c r="M3" s="668">
        <v>0</v>
      </c>
      <c r="N3" s="668">
        <v>0</v>
      </c>
      <c r="O3" s="668">
        <v>0</v>
      </c>
      <c r="P3" s="668">
        <v>0</v>
      </c>
      <c r="Q3" s="668">
        <v>0</v>
      </c>
      <c r="R3" s="668">
        <v>0</v>
      </c>
      <c r="S3" s="669">
        <v>107880</v>
      </c>
      <c r="T3" s="668">
        <v>0</v>
      </c>
      <c r="U3" s="670">
        <v>212</v>
      </c>
      <c r="V3" s="668">
        <v>0</v>
      </c>
      <c r="W3" s="668">
        <v>0</v>
      </c>
      <c r="X3" s="669">
        <v>288</v>
      </c>
      <c r="Y3" s="668">
        <v>0</v>
      </c>
      <c r="Z3" s="668">
        <v>0</v>
      </c>
      <c r="AA3" s="668">
        <v>0</v>
      </c>
      <c r="AB3" s="668">
        <v>0</v>
      </c>
      <c r="AC3" s="668">
        <v>0</v>
      </c>
      <c r="AD3" s="668">
        <v>0</v>
      </c>
      <c r="AE3" s="671"/>
      <c r="AF3" s="672"/>
    </row>
    <row r="4" spans="1:32">
      <c r="B4" s="667" t="s">
        <v>346</v>
      </c>
      <c r="D4" s="667">
        <v>4</v>
      </c>
      <c r="E4" s="669">
        <v>419473</v>
      </c>
      <c r="F4" s="669">
        <v>268054</v>
      </c>
      <c r="G4" s="669">
        <v>19327</v>
      </c>
      <c r="H4" s="669">
        <v>420474</v>
      </c>
      <c r="I4" s="669">
        <v>122292</v>
      </c>
      <c r="J4" s="669">
        <v>316671</v>
      </c>
      <c r="K4" s="668">
        <v>0</v>
      </c>
      <c r="L4" s="669">
        <v>632686</v>
      </c>
      <c r="M4" s="669">
        <v>127064</v>
      </c>
      <c r="N4" s="668">
        <v>0</v>
      </c>
      <c r="O4" s="668">
        <v>4429625</v>
      </c>
      <c r="P4" s="669">
        <v>0</v>
      </c>
      <c r="Q4" s="668">
        <v>6</v>
      </c>
      <c r="R4" s="669">
        <v>2518</v>
      </c>
      <c r="S4" s="669">
        <v>413105</v>
      </c>
      <c r="T4" s="668">
        <v>0</v>
      </c>
      <c r="U4" s="670">
        <v>0</v>
      </c>
      <c r="V4" s="668">
        <v>0</v>
      </c>
      <c r="W4" s="673">
        <v>0</v>
      </c>
      <c r="X4" s="669">
        <v>212442</v>
      </c>
      <c r="Y4" s="669">
        <v>1597867</v>
      </c>
      <c r="Z4" s="669">
        <v>9851</v>
      </c>
      <c r="AA4" s="668"/>
      <c r="AB4" s="668">
        <v>264</v>
      </c>
      <c r="AC4" s="668">
        <v>0</v>
      </c>
      <c r="AD4" s="668">
        <v>0</v>
      </c>
      <c r="AE4" s="671"/>
      <c r="AF4" s="672"/>
    </row>
    <row r="5" spans="1:32">
      <c r="B5" s="667" t="s">
        <v>133</v>
      </c>
      <c r="D5" s="667">
        <v>5</v>
      </c>
      <c r="E5" s="668">
        <v>0</v>
      </c>
      <c r="F5" s="668">
        <v>0</v>
      </c>
      <c r="G5" s="669"/>
      <c r="H5" s="669">
        <v>0</v>
      </c>
      <c r="I5" s="669">
        <v>0</v>
      </c>
      <c r="J5" s="668">
        <v>0</v>
      </c>
      <c r="K5" s="668">
        <v>0</v>
      </c>
      <c r="L5" s="669">
        <v>0</v>
      </c>
      <c r="M5" s="669">
        <v>0</v>
      </c>
      <c r="N5" s="668">
        <v>0</v>
      </c>
      <c r="O5" s="668">
        <v>0</v>
      </c>
      <c r="P5" s="668">
        <v>0</v>
      </c>
      <c r="Q5" s="668">
        <v>0</v>
      </c>
      <c r="R5" s="668">
        <v>0</v>
      </c>
      <c r="S5" s="668">
        <v>0</v>
      </c>
      <c r="T5" s="668">
        <v>0</v>
      </c>
      <c r="U5" s="670">
        <v>0</v>
      </c>
      <c r="V5" s="668">
        <v>0</v>
      </c>
      <c r="W5" s="668">
        <v>0</v>
      </c>
      <c r="X5" s="668"/>
      <c r="Y5" s="669">
        <v>0</v>
      </c>
      <c r="Z5" s="669">
        <v>0</v>
      </c>
      <c r="AA5" s="668">
        <v>0</v>
      </c>
      <c r="AB5" s="668">
        <v>0</v>
      </c>
      <c r="AC5" s="668">
        <v>0</v>
      </c>
      <c r="AD5" s="668">
        <v>0</v>
      </c>
      <c r="AE5" s="671">
        <v>0</v>
      </c>
      <c r="AF5" s="672"/>
    </row>
    <row r="6" spans="1:32">
      <c r="B6" s="667" t="s">
        <v>277</v>
      </c>
      <c r="C6" s="674"/>
      <c r="D6" s="667">
        <v>6</v>
      </c>
      <c r="E6" s="668">
        <v>0</v>
      </c>
      <c r="F6" s="668">
        <v>0</v>
      </c>
      <c r="G6" s="669">
        <v>145706</v>
      </c>
      <c r="H6" s="669">
        <v>3394794</v>
      </c>
      <c r="I6" s="669">
        <v>2778822</v>
      </c>
      <c r="J6" s="668">
        <v>0</v>
      </c>
      <c r="K6" s="668">
        <v>0</v>
      </c>
      <c r="L6" s="669">
        <v>0</v>
      </c>
      <c r="M6" s="669">
        <v>0</v>
      </c>
      <c r="N6" s="668">
        <v>0</v>
      </c>
      <c r="O6" s="668">
        <v>2458353</v>
      </c>
      <c r="P6" s="668">
        <v>0</v>
      </c>
      <c r="Q6" s="668">
        <v>0</v>
      </c>
      <c r="R6" s="668">
        <v>0</v>
      </c>
      <c r="S6" s="668">
        <v>0</v>
      </c>
      <c r="T6" s="668">
        <v>0</v>
      </c>
      <c r="U6" s="670">
        <v>38234</v>
      </c>
      <c r="V6" s="668">
        <v>0</v>
      </c>
      <c r="W6" s="668">
        <v>0</v>
      </c>
      <c r="X6" s="669">
        <v>0</v>
      </c>
      <c r="Y6" s="669">
        <v>660331</v>
      </c>
      <c r="Z6" s="669">
        <v>126001</v>
      </c>
      <c r="AA6" s="668">
        <v>0</v>
      </c>
      <c r="AB6" s="668">
        <v>0</v>
      </c>
      <c r="AC6" s="668">
        <v>0</v>
      </c>
      <c r="AD6" s="668">
        <v>0</v>
      </c>
      <c r="AE6" s="671">
        <v>94802385</v>
      </c>
      <c r="AF6" s="672"/>
    </row>
    <row r="7" spans="1:32">
      <c r="B7" s="667" t="s">
        <v>360</v>
      </c>
      <c r="D7" s="667">
        <v>7</v>
      </c>
      <c r="E7" s="668">
        <v>0</v>
      </c>
      <c r="F7" s="668">
        <v>0</v>
      </c>
      <c r="G7" s="668">
        <v>0</v>
      </c>
      <c r="H7" s="668">
        <v>0</v>
      </c>
      <c r="I7" s="668">
        <v>0</v>
      </c>
      <c r="J7" s="668">
        <v>0</v>
      </c>
      <c r="K7" s="669">
        <v>26066</v>
      </c>
      <c r="L7" s="669">
        <v>106369</v>
      </c>
      <c r="M7" s="669">
        <v>27641</v>
      </c>
      <c r="N7" s="668">
        <v>0</v>
      </c>
      <c r="O7" s="668">
        <v>0</v>
      </c>
      <c r="P7" s="668">
        <v>0</v>
      </c>
      <c r="Q7" s="668">
        <v>0</v>
      </c>
      <c r="R7" s="668">
        <v>0</v>
      </c>
      <c r="S7" s="668">
        <v>0</v>
      </c>
      <c r="T7" s="668">
        <v>0</v>
      </c>
      <c r="U7" s="671">
        <v>0</v>
      </c>
      <c r="V7" s="668">
        <v>0</v>
      </c>
      <c r="W7" s="668">
        <v>0</v>
      </c>
      <c r="X7" s="673"/>
      <c r="Y7" s="668">
        <v>0</v>
      </c>
      <c r="Z7" s="668">
        <v>0</v>
      </c>
      <c r="AA7" s="668">
        <v>0</v>
      </c>
      <c r="AB7" s="668">
        <v>0</v>
      </c>
      <c r="AC7" s="668">
        <v>0</v>
      </c>
      <c r="AD7" s="668">
        <v>0</v>
      </c>
      <c r="AE7" s="671">
        <v>59874</v>
      </c>
      <c r="AF7" s="672"/>
    </row>
    <row r="8" spans="1:32">
      <c r="C8" s="675" t="s">
        <v>364</v>
      </c>
      <c r="D8" s="667">
        <v>8</v>
      </c>
      <c r="E8" s="676">
        <f>SUM(E3:E7)</f>
        <v>419473</v>
      </c>
      <c r="F8" s="676">
        <f t="shared" ref="F8:AD8" si="0">SUM(F3:F7)</f>
        <v>268054</v>
      </c>
      <c r="G8" s="676">
        <f t="shared" ref="G8:M8" si="1">SUM(G3:G7)</f>
        <v>165033</v>
      </c>
      <c r="H8" s="676">
        <f t="shared" si="1"/>
        <v>3815268</v>
      </c>
      <c r="I8" s="676">
        <f t="shared" si="1"/>
        <v>2901114</v>
      </c>
      <c r="J8" s="676">
        <f t="shared" si="1"/>
        <v>316671</v>
      </c>
      <c r="K8" s="676">
        <f t="shared" si="1"/>
        <v>26066</v>
      </c>
      <c r="L8" s="676">
        <f t="shared" si="1"/>
        <v>739055</v>
      </c>
      <c r="M8" s="676">
        <f t="shared" si="1"/>
        <v>154705</v>
      </c>
      <c r="N8" s="676">
        <f t="shared" si="0"/>
        <v>0</v>
      </c>
      <c r="O8" s="676">
        <f>SUM(O3:O7)</f>
        <v>6887978</v>
      </c>
      <c r="P8" s="676">
        <f>SUM(P3:P7)</f>
        <v>0</v>
      </c>
      <c r="Q8" s="676">
        <f>SUM(Q3:Q7)</f>
        <v>6</v>
      </c>
      <c r="R8" s="676">
        <f>SUM(R3:R7)</f>
        <v>2518</v>
      </c>
      <c r="S8" s="676">
        <f>SUM(S3:S7)</f>
        <v>520985</v>
      </c>
      <c r="T8" s="676">
        <f t="shared" si="0"/>
        <v>0</v>
      </c>
      <c r="U8" s="677">
        <f>SUM(U3:U7)</f>
        <v>38446</v>
      </c>
      <c r="V8" s="676">
        <f t="shared" si="0"/>
        <v>0</v>
      </c>
      <c r="W8" s="676">
        <f t="shared" si="0"/>
        <v>0</v>
      </c>
      <c r="X8" s="676">
        <f t="shared" si="0"/>
        <v>212730</v>
      </c>
      <c r="Y8" s="676">
        <f>SUM(Y3:Y7)</f>
        <v>2258198</v>
      </c>
      <c r="Z8" s="676">
        <f t="shared" si="0"/>
        <v>135852</v>
      </c>
      <c r="AA8" s="676">
        <f t="shared" si="0"/>
        <v>0</v>
      </c>
      <c r="AB8" s="676">
        <f t="shared" si="0"/>
        <v>264</v>
      </c>
      <c r="AC8" s="676">
        <f t="shared" si="0"/>
        <v>0</v>
      </c>
      <c r="AD8" s="676">
        <f t="shared" si="0"/>
        <v>0</v>
      </c>
      <c r="AE8" s="677">
        <f>SUM(AE3:AE7)</f>
        <v>94862259</v>
      </c>
      <c r="AF8" s="672"/>
    </row>
    <row r="9" spans="1:32">
      <c r="D9" s="667">
        <v>9</v>
      </c>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2"/>
    </row>
    <row r="10" spans="1:32">
      <c r="B10" s="667" t="s">
        <v>443</v>
      </c>
      <c r="D10" s="667">
        <v>10</v>
      </c>
      <c r="E10" s="668">
        <v>0</v>
      </c>
      <c r="F10" s="668">
        <v>0</v>
      </c>
      <c r="G10" s="668">
        <v>0</v>
      </c>
      <c r="H10" s="668">
        <v>0</v>
      </c>
      <c r="I10" s="668">
        <v>0</v>
      </c>
      <c r="J10" s="668">
        <v>0</v>
      </c>
      <c r="K10" s="668">
        <v>0</v>
      </c>
      <c r="L10" s="668">
        <v>0</v>
      </c>
      <c r="M10" s="668">
        <v>0</v>
      </c>
      <c r="N10" s="668">
        <v>0</v>
      </c>
      <c r="O10" s="668">
        <v>0</v>
      </c>
      <c r="P10" s="668">
        <v>0</v>
      </c>
      <c r="Q10" s="668">
        <v>0</v>
      </c>
      <c r="R10" s="668">
        <v>0</v>
      </c>
      <c r="S10" s="668">
        <v>0</v>
      </c>
      <c r="T10" s="668">
        <v>0</v>
      </c>
      <c r="U10" s="671">
        <v>0</v>
      </c>
      <c r="V10" s="668">
        <v>0</v>
      </c>
      <c r="W10" s="668">
        <v>0</v>
      </c>
      <c r="X10" s="668">
        <v>0</v>
      </c>
      <c r="Y10" s="668">
        <v>0</v>
      </c>
      <c r="Z10" s="668">
        <v>0</v>
      </c>
      <c r="AA10" s="668">
        <v>0</v>
      </c>
      <c r="AB10" s="668">
        <v>0</v>
      </c>
      <c r="AC10" s="668">
        <v>0</v>
      </c>
      <c r="AD10" s="668">
        <v>0</v>
      </c>
      <c r="AE10" s="671"/>
      <c r="AF10" s="672"/>
    </row>
    <row r="11" spans="1:32">
      <c r="B11" s="667" t="s">
        <v>361</v>
      </c>
      <c r="D11" s="667">
        <v>11</v>
      </c>
      <c r="E11" s="669">
        <v>9073413</v>
      </c>
      <c r="F11" s="668">
        <v>0</v>
      </c>
      <c r="G11" s="668">
        <v>0</v>
      </c>
      <c r="H11" s="668">
        <v>0</v>
      </c>
      <c r="I11" s="668">
        <v>0</v>
      </c>
      <c r="J11" s="668">
        <v>0</v>
      </c>
      <c r="K11" s="669">
        <v>910389</v>
      </c>
      <c r="L11" s="669">
        <v>2179742</v>
      </c>
      <c r="M11" s="669">
        <v>6047967</v>
      </c>
      <c r="N11" s="668">
        <v>0</v>
      </c>
      <c r="O11" s="668">
        <v>0</v>
      </c>
      <c r="P11" s="668">
        <v>0</v>
      </c>
      <c r="Q11" s="668">
        <v>0</v>
      </c>
      <c r="R11" s="668">
        <v>0</v>
      </c>
      <c r="S11" s="668">
        <v>0</v>
      </c>
      <c r="T11" s="668">
        <v>0</v>
      </c>
      <c r="U11" s="671">
        <v>0</v>
      </c>
      <c r="V11" s="668">
        <v>0</v>
      </c>
      <c r="W11" s="668">
        <v>0</v>
      </c>
      <c r="X11" s="679">
        <v>5555486</v>
      </c>
      <c r="Y11" s="668">
        <v>0</v>
      </c>
      <c r="Z11" s="668">
        <v>0</v>
      </c>
      <c r="AA11" s="668">
        <v>0</v>
      </c>
      <c r="AB11" s="668">
        <v>0</v>
      </c>
      <c r="AC11" s="668">
        <v>0</v>
      </c>
      <c r="AD11" s="668">
        <v>0</v>
      </c>
      <c r="AE11" s="671"/>
      <c r="AF11" s="672"/>
    </row>
    <row r="12" spans="1:32">
      <c r="C12" s="675" t="s">
        <v>366</v>
      </c>
      <c r="D12" s="667">
        <v>12</v>
      </c>
      <c r="E12" s="676">
        <f t="shared" ref="E12:M12" si="2">SUM(E10:E11)</f>
        <v>9073413</v>
      </c>
      <c r="F12" s="676">
        <f t="shared" si="2"/>
        <v>0</v>
      </c>
      <c r="G12" s="676">
        <f t="shared" si="2"/>
        <v>0</v>
      </c>
      <c r="H12" s="676">
        <f t="shared" si="2"/>
        <v>0</v>
      </c>
      <c r="I12" s="676">
        <f t="shared" si="2"/>
        <v>0</v>
      </c>
      <c r="J12" s="676">
        <f t="shared" si="2"/>
        <v>0</v>
      </c>
      <c r="K12" s="676">
        <f t="shared" si="2"/>
        <v>910389</v>
      </c>
      <c r="L12" s="676">
        <f t="shared" si="2"/>
        <v>2179742</v>
      </c>
      <c r="M12" s="676">
        <f t="shared" si="2"/>
        <v>6047967</v>
      </c>
      <c r="N12" s="676">
        <f t="shared" ref="N12:X12" si="3">SUM(N10:N11)</f>
        <v>0</v>
      </c>
      <c r="O12" s="676">
        <f>SUM(O10:O11)</f>
        <v>0</v>
      </c>
      <c r="P12" s="676">
        <f>SUM(P10:P11)</f>
        <v>0</v>
      </c>
      <c r="Q12" s="676">
        <f>SUM(Q10:Q11)</f>
        <v>0</v>
      </c>
      <c r="R12" s="676">
        <f>SUM(R10:R11)</f>
        <v>0</v>
      </c>
      <c r="S12" s="676">
        <f>SUM(S10:S11)</f>
        <v>0</v>
      </c>
      <c r="T12" s="676">
        <f t="shared" si="3"/>
        <v>0</v>
      </c>
      <c r="U12" s="677">
        <f>SUM(U10:U11)</f>
        <v>0</v>
      </c>
      <c r="V12" s="676">
        <f t="shared" si="3"/>
        <v>0</v>
      </c>
      <c r="W12" s="676">
        <f t="shared" si="3"/>
        <v>0</v>
      </c>
      <c r="X12" s="676">
        <f t="shared" si="3"/>
        <v>5555486</v>
      </c>
      <c r="Y12" s="676">
        <f>SUM(Y10:Y11)</f>
        <v>0</v>
      </c>
      <c r="Z12" s="676">
        <f>SUM(Z10:Z11)</f>
        <v>0</v>
      </c>
      <c r="AA12" s="676">
        <f t="shared" ref="AA12:AD12" si="4">SUM(AA10:AA11)</f>
        <v>0</v>
      </c>
      <c r="AB12" s="676">
        <f t="shared" si="4"/>
        <v>0</v>
      </c>
      <c r="AC12" s="676">
        <f t="shared" si="4"/>
        <v>0</v>
      </c>
      <c r="AD12" s="676">
        <f t="shared" si="4"/>
        <v>0</v>
      </c>
      <c r="AE12" s="677">
        <f>SUM(AE10:AE11)</f>
        <v>0</v>
      </c>
      <c r="AF12" s="672"/>
    </row>
    <row r="13" spans="1:32">
      <c r="C13" s="675"/>
      <c r="D13" s="667">
        <v>13</v>
      </c>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72"/>
    </row>
    <row r="14" spans="1:32" ht="15.75">
      <c r="B14" s="667" t="s">
        <v>3365</v>
      </c>
      <c r="C14" s="675"/>
      <c r="D14" s="667">
        <v>14</v>
      </c>
      <c r="E14" s="668">
        <v>0</v>
      </c>
      <c r="F14" s="668">
        <v>0</v>
      </c>
      <c r="G14" s="668">
        <v>0</v>
      </c>
      <c r="H14" s="668">
        <v>0</v>
      </c>
      <c r="I14" s="668">
        <v>0</v>
      </c>
      <c r="J14" s="668">
        <v>0</v>
      </c>
      <c r="K14" s="668">
        <v>0</v>
      </c>
      <c r="L14" s="668">
        <v>0</v>
      </c>
      <c r="M14" s="668">
        <v>0</v>
      </c>
      <c r="N14" s="668">
        <v>0</v>
      </c>
      <c r="O14" s="668">
        <v>0</v>
      </c>
      <c r="P14" s="668">
        <v>0</v>
      </c>
      <c r="Q14" s="668">
        <v>0</v>
      </c>
      <c r="R14" s="668">
        <v>0</v>
      </c>
      <c r="S14" s="668">
        <v>0</v>
      </c>
      <c r="T14" s="668">
        <v>0</v>
      </c>
      <c r="U14" s="671">
        <v>0</v>
      </c>
      <c r="V14" s="668">
        <v>0</v>
      </c>
      <c r="W14" s="668">
        <v>0</v>
      </c>
      <c r="X14" s="668">
        <v>0</v>
      </c>
      <c r="Y14" s="668">
        <v>0</v>
      </c>
      <c r="Z14" s="668">
        <v>0</v>
      </c>
      <c r="AA14" s="668">
        <v>228527</v>
      </c>
      <c r="AB14" s="668">
        <v>0</v>
      </c>
      <c r="AC14" s="669">
        <v>4233129</v>
      </c>
      <c r="AD14" s="668">
        <v>0</v>
      </c>
      <c r="AE14" s="680"/>
      <c r="AF14" s="672"/>
    </row>
    <row r="15" spans="1:32">
      <c r="D15" s="667">
        <v>15</v>
      </c>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72"/>
    </row>
    <row r="16" spans="1:32">
      <c r="B16" s="667" t="s">
        <v>297</v>
      </c>
      <c r="D16" s="667">
        <v>16</v>
      </c>
      <c r="E16" s="668">
        <v>0</v>
      </c>
      <c r="F16" s="668">
        <v>0</v>
      </c>
      <c r="G16" s="668">
        <v>0</v>
      </c>
      <c r="H16" s="668">
        <v>0</v>
      </c>
      <c r="I16" s="668">
        <v>0</v>
      </c>
      <c r="J16" s="668">
        <v>0</v>
      </c>
      <c r="K16" s="668">
        <v>0</v>
      </c>
      <c r="L16" s="668">
        <v>0</v>
      </c>
      <c r="M16" s="668">
        <v>0</v>
      </c>
      <c r="N16" s="668">
        <v>0</v>
      </c>
      <c r="O16" s="668">
        <v>0</v>
      </c>
      <c r="P16" s="668">
        <v>0</v>
      </c>
      <c r="Q16" s="668">
        <v>0</v>
      </c>
      <c r="R16" s="668">
        <v>0</v>
      </c>
      <c r="S16" s="669">
        <v>75092</v>
      </c>
      <c r="T16" s="668">
        <v>0</v>
      </c>
      <c r="U16" s="668">
        <v>0</v>
      </c>
      <c r="V16" s="668">
        <v>0</v>
      </c>
      <c r="W16" s="668">
        <v>0</v>
      </c>
      <c r="X16" s="668">
        <v>0</v>
      </c>
      <c r="Y16" s="668">
        <v>0</v>
      </c>
      <c r="Z16" s="668">
        <v>0</v>
      </c>
      <c r="AA16" s="668"/>
      <c r="AB16" s="668">
        <v>5334</v>
      </c>
      <c r="AC16" s="668">
        <v>0</v>
      </c>
      <c r="AD16" s="668">
        <v>0</v>
      </c>
      <c r="AE16" s="671"/>
      <c r="AF16" s="672"/>
    </row>
    <row r="17" spans="2:32">
      <c r="B17" s="681" t="s">
        <v>2833</v>
      </c>
      <c r="D17" s="667">
        <v>17</v>
      </c>
      <c r="E17" s="668">
        <v>0</v>
      </c>
      <c r="F17" s="668">
        <v>0</v>
      </c>
      <c r="G17" s="668">
        <v>0</v>
      </c>
      <c r="H17" s="668">
        <v>0</v>
      </c>
      <c r="I17" s="668">
        <v>0</v>
      </c>
      <c r="J17" s="668">
        <v>0</v>
      </c>
      <c r="K17" s="668">
        <v>0</v>
      </c>
      <c r="L17" s="668">
        <v>0</v>
      </c>
      <c r="M17" s="668">
        <v>0</v>
      </c>
      <c r="N17" s="668">
        <v>0</v>
      </c>
      <c r="O17" s="668">
        <v>0</v>
      </c>
      <c r="P17" s="668">
        <v>0</v>
      </c>
      <c r="Q17" s="668">
        <v>0</v>
      </c>
      <c r="R17" s="668">
        <v>0</v>
      </c>
      <c r="S17" s="668">
        <v>0</v>
      </c>
      <c r="T17" s="668">
        <v>0</v>
      </c>
      <c r="U17" s="668">
        <v>0</v>
      </c>
      <c r="V17" s="668">
        <v>0</v>
      </c>
      <c r="W17" s="668">
        <v>0</v>
      </c>
      <c r="X17" s="668">
        <v>0</v>
      </c>
      <c r="Y17" s="668">
        <v>0</v>
      </c>
      <c r="Z17" s="668">
        <v>0</v>
      </c>
      <c r="AA17" s="668">
        <v>0</v>
      </c>
      <c r="AB17" s="668">
        <v>0</v>
      </c>
      <c r="AC17" s="668">
        <v>0</v>
      </c>
      <c r="AD17" s="668">
        <v>0</v>
      </c>
      <c r="AE17" s="671"/>
      <c r="AF17" s="672"/>
    </row>
    <row r="18" spans="2:32">
      <c r="B18" s="681" t="s">
        <v>2834</v>
      </c>
      <c r="D18" s="667">
        <v>18</v>
      </c>
      <c r="E18" s="669">
        <v>23649</v>
      </c>
      <c r="F18" s="668">
        <v>0</v>
      </c>
      <c r="G18" s="668">
        <v>0</v>
      </c>
      <c r="H18" s="668">
        <v>0</v>
      </c>
      <c r="I18" s="668">
        <v>0</v>
      </c>
      <c r="J18" s="668">
        <v>0</v>
      </c>
      <c r="K18" s="668">
        <v>0</v>
      </c>
      <c r="L18" s="668">
        <v>0</v>
      </c>
      <c r="M18" s="668">
        <v>0</v>
      </c>
      <c r="N18" s="668">
        <v>0</v>
      </c>
      <c r="O18" s="668">
        <v>0</v>
      </c>
      <c r="P18" s="668">
        <v>0</v>
      </c>
      <c r="Q18" s="668">
        <v>0</v>
      </c>
      <c r="R18" s="668">
        <v>0</v>
      </c>
      <c r="S18" s="668">
        <v>0</v>
      </c>
      <c r="T18" s="668">
        <v>0</v>
      </c>
      <c r="U18" s="668">
        <v>0</v>
      </c>
      <c r="V18" s="668">
        <v>0</v>
      </c>
      <c r="W18" s="668">
        <v>0</v>
      </c>
      <c r="X18" s="668">
        <v>0</v>
      </c>
      <c r="Y18" s="668">
        <v>0</v>
      </c>
      <c r="Z18" s="668">
        <v>0</v>
      </c>
      <c r="AA18" s="668">
        <v>0</v>
      </c>
      <c r="AB18" s="668">
        <v>0</v>
      </c>
      <c r="AC18" s="668">
        <v>0</v>
      </c>
      <c r="AD18" s="668">
        <v>0</v>
      </c>
      <c r="AE18" s="671"/>
      <c r="AF18" s="672"/>
    </row>
    <row r="19" spans="2:32">
      <c r="B19" s="667" t="s">
        <v>286</v>
      </c>
      <c r="D19" s="667">
        <v>19</v>
      </c>
      <c r="E19" s="668">
        <v>0</v>
      </c>
      <c r="F19" s="668">
        <v>0</v>
      </c>
      <c r="G19" s="668">
        <v>0</v>
      </c>
      <c r="H19" s="668">
        <v>0</v>
      </c>
      <c r="I19" s="668">
        <v>0</v>
      </c>
      <c r="J19" s="668">
        <v>0</v>
      </c>
      <c r="K19" s="668">
        <v>0</v>
      </c>
      <c r="L19" s="669">
        <v>60529</v>
      </c>
      <c r="M19" s="668">
        <v>0</v>
      </c>
      <c r="N19" s="668">
        <v>0</v>
      </c>
      <c r="O19" s="668">
        <v>0</v>
      </c>
      <c r="P19" s="668">
        <v>0</v>
      </c>
      <c r="Q19" s="668">
        <v>0</v>
      </c>
      <c r="R19" s="668">
        <v>0</v>
      </c>
      <c r="S19" s="668">
        <v>0</v>
      </c>
      <c r="T19" s="668">
        <v>0</v>
      </c>
      <c r="U19" s="668">
        <v>0</v>
      </c>
      <c r="V19" s="668">
        <v>0</v>
      </c>
      <c r="W19" s="668">
        <v>0</v>
      </c>
      <c r="X19" s="668">
        <v>0</v>
      </c>
      <c r="Y19" s="668">
        <v>0</v>
      </c>
      <c r="Z19" s="668">
        <v>0</v>
      </c>
      <c r="AA19" s="668">
        <v>0</v>
      </c>
      <c r="AB19" s="668">
        <v>0</v>
      </c>
      <c r="AC19" s="668">
        <v>0</v>
      </c>
      <c r="AD19" s="668">
        <v>0</v>
      </c>
      <c r="AE19" s="671">
        <v>233857</v>
      </c>
      <c r="AF19" s="672"/>
    </row>
    <row r="20" spans="2:32">
      <c r="C20" s="675" t="s">
        <v>2901</v>
      </c>
      <c r="D20" s="667">
        <v>20</v>
      </c>
      <c r="E20" s="676">
        <f t="shared" ref="E20:M20" si="5">SUM(E16:E19)</f>
        <v>23649</v>
      </c>
      <c r="F20" s="676">
        <f t="shared" si="5"/>
        <v>0</v>
      </c>
      <c r="G20" s="676">
        <f t="shared" si="5"/>
        <v>0</v>
      </c>
      <c r="H20" s="676">
        <f t="shared" si="5"/>
        <v>0</v>
      </c>
      <c r="I20" s="676">
        <f t="shared" si="5"/>
        <v>0</v>
      </c>
      <c r="J20" s="676">
        <f t="shared" si="5"/>
        <v>0</v>
      </c>
      <c r="K20" s="676">
        <f t="shared" si="5"/>
        <v>0</v>
      </c>
      <c r="L20" s="676">
        <f t="shared" si="5"/>
        <v>60529</v>
      </c>
      <c r="M20" s="676">
        <f t="shared" si="5"/>
        <v>0</v>
      </c>
      <c r="N20" s="676">
        <f t="shared" ref="N20:X20" si="6">SUM(N16:N19)</f>
        <v>0</v>
      </c>
      <c r="O20" s="676">
        <f>SUM(O16:O19)</f>
        <v>0</v>
      </c>
      <c r="P20" s="676">
        <f>SUM(P16:P19)</f>
        <v>0</v>
      </c>
      <c r="Q20" s="676">
        <f>SUM(Q16:Q19)</f>
        <v>0</v>
      </c>
      <c r="R20" s="676">
        <f>SUM(R16:R19)</f>
        <v>0</v>
      </c>
      <c r="S20" s="676">
        <f>SUM(S16:S19)</f>
        <v>75092</v>
      </c>
      <c r="T20" s="676">
        <f t="shared" si="6"/>
        <v>0</v>
      </c>
      <c r="U20" s="677">
        <f>SUM(U16:U19)</f>
        <v>0</v>
      </c>
      <c r="V20" s="676">
        <f t="shared" si="6"/>
        <v>0</v>
      </c>
      <c r="W20" s="676">
        <f t="shared" si="6"/>
        <v>0</v>
      </c>
      <c r="X20" s="676">
        <f t="shared" si="6"/>
        <v>0</v>
      </c>
      <c r="Y20" s="676">
        <f>SUM(Y16:Y19)</f>
        <v>0</v>
      </c>
      <c r="Z20" s="676">
        <f>SUM(Z16:Z19)</f>
        <v>0</v>
      </c>
      <c r="AA20" s="676">
        <f t="shared" ref="AA20:AD20" si="7">SUM(AA16:AA19)</f>
        <v>0</v>
      </c>
      <c r="AB20" s="676">
        <f t="shared" si="7"/>
        <v>5334</v>
      </c>
      <c r="AC20" s="676">
        <f t="shared" si="7"/>
        <v>0</v>
      </c>
      <c r="AD20" s="676">
        <f t="shared" si="7"/>
        <v>0</v>
      </c>
      <c r="AE20" s="677">
        <f>SUM(AE16:AE19)</f>
        <v>233857</v>
      </c>
      <c r="AF20" s="672"/>
    </row>
    <row r="21" spans="2:32">
      <c r="D21" s="667">
        <v>21</v>
      </c>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72"/>
    </row>
    <row r="22" spans="2:32">
      <c r="B22" s="675" t="s">
        <v>66</v>
      </c>
      <c r="D22" s="667">
        <v>22</v>
      </c>
      <c r="E22" s="668">
        <v>0</v>
      </c>
      <c r="F22" s="669">
        <v>1455</v>
      </c>
      <c r="G22" s="668">
        <v>0</v>
      </c>
      <c r="H22" s="669">
        <v>0</v>
      </c>
      <c r="I22" s="668">
        <v>0</v>
      </c>
      <c r="J22" s="668">
        <v>0</v>
      </c>
      <c r="K22" s="668">
        <v>0</v>
      </c>
      <c r="L22" s="668">
        <v>0</v>
      </c>
      <c r="M22" s="668">
        <v>0</v>
      </c>
      <c r="N22" s="668">
        <v>0</v>
      </c>
      <c r="O22" s="668">
        <v>192966</v>
      </c>
      <c r="P22" s="668"/>
      <c r="Q22" s="668">
        <v>0</v>
      </c>
      <c r="R22" s="668">
        <v>0</v>
      </c>
      <c r="S22" s="668">
        <v>0</v>
      </c>
      <c r="T22" s="668">
        <v>0</v>
      </c>
      <c r="U22" s="668">
        <v>0</v>
      </c>
      <c r="V22" s="668">
        <v>0</v>
      </c>
      <c r="W22" s="668">
        <v>0</v>
      </c>
      <c r="X22" s="668">
        <v>0</v>
      </c>
      <c r="Y22" s="668">
        <v>0</v>
      </c>
      <c r="Z22" s="668">
        <v>0</v>
      </c>
      <c r="AA22" s="668">
        <v>0</v>
      </c>
      <c r="AB22" s="668">
        <v>0</v>
      </c>
      <c r="AC22" s="668">
        <v>0</v>
      </c>
      <c r="AD22" s="668">
        <v>0</v>
      </c>
      <c r="AE22" s="671"/>
      <c r="AF22" s="672"/>
    </row>
    <row r="23" spans="2:32">
      <c r="B23" s="667" t="s">
        <v>67</v>
      </c>
      <c r="D23" s="667">
        <v>23</v>
      </c>
      <c r="E23" s="668">
        <v>0</v>
      </c>
      <c r="F23" s="668">
        <v>0</v>
      </c>
      <c r="G23" s="668">
        <v>0</v>
      </c>
      <c r="H23" s="668">
        <v>0</v>
      </c>
      <c r="I23" s="668">
        <v>0</v>
      </c>
      <c r="J23" s="668">
        <v>0</v>
      </c>
      <c r="K23" s="668">
        <v>0</v>
      </c>
      <c r="L23" s="668">
        <v>0</v>
      </c>
      <c r="M23" s="668">
        <v>0</v>
      </c>
      <c r="N23" s="668">
        <v>0</v>
      </c>
      <c r="O23" s="668">
        <v>0</v>
      </c>
      <c r="P23" s="668">
        <v>0</v>
      </c>
      <c r="Q23" s="668">
        <v>0</v>
      </c>
      <c r="R23" s="668">
        <v>0</v>
      </c>
      <c r="S23" s="668">
        <v>0</v>
      </c>
      <c r="T23" s="668">
        <v>0</v>
      </c>
      <c r="U23" s="668">
        <v>0</v>
      </c>
      <c r="V23" s="668">
        <v>0</v>
      </c>
      <c r="W23" s="668">
        <v>0</v>
      </c>
      <c r="X23" s="668">
        <v>0</v>
      </c>
      <c r="Y23" s="668">
        <v>0</v>
      </c>
      <c r="Z23" s="668">
        <v>0</v>
      </c>
      <c r="AA23" s="668">
        <v>0</v>
      </c>
      <c r="AB23" s="668">
        <v>0</v>
      </c>
      <c r="AC23" s="668">
        <v>0</v>
      </c>
      <c r="AD23" s="668">
        <v>0</v>
      </c>
      <c r="AE23" s="671"/>
      <c r="AF23" s="672"/>
    </row>
    <row r="24" spans="2:32">
      <c r="B24" s="675" t="s">
        <v>347</v>
      </c>
      <c r="D24" s="667">
        <v>24</v>
      </c>
      <c r="E24" s="668">
        <v>0</v>
      </c>
      <c r="F24" s="668">
        <v>0</v>
      </c>
      <c r="G24" s="668">
        <v>0</v>
      </c>
      <c r="H24" s="668">
        <v>0</v>
      </c>
      <c r="I24" s="668">
        <v>0</v>
      </c>
      <c r="J24" s="668">
        <v>0</v>
      </c>
      <c r="K24" s="668">
        <v>0</v>
      </c>
      <c r="L24" s="669">
        <v>-4497</v>
      </c>
      <c r="M24" s="668">
        <v>0</v>
      </c>
      <c r="N24" s="668">
        <v>0</v>
      </c>
      <c r="O24" s="668">
        <v>0</v>
      </c>
      <c r="P24" s="668">
        <v>0</v>
      </c>
      <c r="Q24" s="668">
        <v>0</v>
      </c>
      <c r="R24" s="668">
        <v>0</v>
      </c>
      <c r="S24" s="668">
        <v>0</v>
      </c>
      <c r="T24" s="668">
        <v>0</v>
      </c>
      <c r="U24" s="668">
        <v>0</v>
      </c>
      <c r="V24" s="668">
        <v>0</v>
      </c>
      <c r="W24" s="668">
        <v>0</v>
      </c>
      <c r="X24" s="668">
        <v>0</v>
      </c>
      <c r="Y24" s="668">
        <v>0</v>
      </c>
      <c r="Z24" s="668">
        <v>0</v>
      </c>
      <c r="AA24" s="668">
        <v>0</v>
      </c>
      <c r="AB24" s="668">
        <v>0</v>
      </c>
      <c r="AC24" s="668">
        <v>0</v>
      </c>
      <c r="AD24" s="668">
        <v>0</v>
      </c>
      <c r="AE24" s="671"/>
      <c r="AF24" s="672"/>
    </row>
    <row r="25" spans="2:32">
      <c r="B25" s="675" t="s">
        <v>348</v>
      </c>
      <c r="D25" s="667">
        <v>25</v>
      </c>
      <c r="E25" s="668">
        <v>0</v>
      </c>
      <c r="F25" s="668">
        <v>0</v>
      </c>
      <c r="G25" s="668">
        <v>0</v>
      </c>
      <c r="H25" s="668">
        <v>0</v>
      </c>
      <c r="I25" s="668">
        <v>0</v>
      </c>
      <c r="J25" s="668">
        <v>0</v>
      </c>
      <c r="K25" s="668">
        <v>0</v>
      </c>
      <c r="L25" s="668">
        <v>0</v>
      </c>
      <c r="M25" s="668">
        <v>0</v>
      </c>
      <c r="N25" s="668">
        <v>0</v>
      </c>
      <c r="O25" s="668">
        <v>0</v>
      </c>
      <c r="P25" s="668">
        <v>0</v>
      </c>
      <c r="Q25" s="668">
        <v>0</v>
      </c>
      <c r="R25" s="668">
        <v>0</v>
      </c>
      <c r="S25" s="669">
        <v>2790</v>
      </c>
      <c r="T25" s="668">
        <v>0</v>
      </c>
      <c r="U25" s="668">
        <v>0</v>
      </c>
      <c r="V25" s="668">
        <v>0</v>
      </c>
      <c r="W25" s="668">
        <v>0</v>
      </c>
      <c r="X25" s="668">
        <v>0</v>
      </c>
      <c r="Y25" s="668">
        <v>0</v>
      </c>
      <c r="Z25" s="668">
        <v>0</v>
      </c>
      <c r="AA25" s="668">
        <v>0</v>
      </c>
      <c r="AB25" s="668">
        <v>0</v>
      </c>
      <c r="AC25" s="668">
        <v>0</v>
      </c>
      <c r="AD25" s="668">
        <v>0</v>
      </c>
      <c r="AE25" s="671"/>
      <c r="AF25" s="672"/>
    </row>
    <row r="26" spans="2:32">
      <c r="D26" s="667">
        <v>26</v>
      </c>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72"/>
    </row>
    <row r="27" spans="2:32">
      <c r="B27" s="667" t="s">
        <v>2851</v>
      </c>
      <c r="C27" s="675"/>
      <c r="D27" s="667">
        <v>27</v>
      </c>
      <c r="E27" s="668">
        <v>0</v>
      </c>
      <c r="F27" s="668">
        <v>0</v>
      </c>
      <c r="G27" s="668">
        <v>0</v>
      </c>
      <c r="H27" s="668">
        <v>0</v>
      </c>
      <c r="I27" s="668">
        <v>0</v>
      </c>
      <c r="J27" s="668">
        <v>7600</v>
      </c>
      <c r="K27" s="668">
        <v>0</v>
      </c>
      <c r="L27" s="668">
        <v>0</v>
      </c>
      <c r="M27" s="668">
        <v>0</v>
      </c>
      <c r="N27" s="668">
        <v>0</v>
      </c>
      <c r="O27" s="668">
        <v>0</v>
      </c>
      <c r="P27" s="668">
        <v>0</v>
      </c>
      <c r="Q27" s="668">
        <v>0</v>
      </c>
      <c r="R27" s="668">
        <v>0</v>
      </c>
      <c r="S27" s="668">
        <v>0</v>
      </c>
      <c r="T27" s="668">
        <v>0</v>
      </c>
      <c r="U27" s="668">
        <v>0</v>
      </c>
      <c r="V27" s="668">
        <v>0</v>
      </c>
      <c r="W27" s="668">
        <v>0</v>
      </c>
      <c r="X27" s="668">
        <v>0</v>
      </c>
      <c r="Y27" s="668">
        <v>0</v>
      </c>
      <c r="Z27" s="668">
        <v>0</v>
      </c>
      <c r="AA27" s="668">
        <v>0</v>
      </c>
      <c r="AB27" s="668">
        <v>0</v>
      </c>
      <c r="AC27" s="668">
        <v>0</v>
      </c>
      <c r="AD27" s="668">
        <v>0</v>
      </c>
      <c r="AE27" s="671"/>
      <c r="AF27" s="672"/>
    </row>
    <row r="28" spans="2:32">
      <c r="B28" s="667" t="s">
        <v>2850</v>
      </c>
      <c r="C28" s="675"/>
      <c r="D28" s="667">
        <v>28</v>
      </c>
      <c r="E28" s="668"/>
      <c r="F28" s="668"/>
      <c r="G28" s="668"/>
      <c r="H28" s="668"/>
      <c r="I28" s="668"/>
      <c r="J28" s="668"/>
      <c r="K28" s="668"/>
      <c r="L28" s="668"/>
      <c r="M28" s="668"/>
      <c r="N28" s="668"/>
      <c r="O28" s="668"/>
      <c r="P28" s="668"/>
      <c r="Q28" s="668"/>
      <c r="R28" s="668"/>
      <c r="S28" s="668"/>
      <c r="T28" s="668"/>
      <c r="U28" s="668"/>
      <c r="V28" s="668"/>
      <c r="W28" s="668"/>
      <c r="X28" s="668"/>
      <c r="Y28" s="668"/>
      <c r="Z28" s="668"/>
      <c r="AA28" s="668">
        <v>0</v>
      </c>
      <c r="AB28" s="668">
        <v>0</v>
      </c>
      <c r="AC28" s="668">
        <v>0</v>
      </c>
      <c r="AD28" s="668">
        <v>0</v>
      </c>
      <c r="AE28" s="671"/>
      <c r="AF28" s="672"/>
    </row>
    <row r="29" spans="2:32">
      <c r="B29" s="667" t="s">
        <v>345</v>
      </c>
      <c r="C29" s="675"/>
      <c r="D29" s="667">
        <v>29</v>
      </c>
      <c r="E29" s="668">
        <v>0</v>
      </c>
      <c r="F29" s="668">
        <v>0</v>
      </c>
      <c r="G29" s="668">
        <v>0</v>
      </c>
      <c r="H29" s="668">
        <v>0</v>
      </c>
      <c r="I29" s="668">
        <v>0</v>
      </c>
      <c r="J29" s="668">
        <v>0</v>
      </c>
      <c r="K29" s="668">
        <v>0</v>
      </c>
      <c r="L29" s="668">
        <v>0</v>
      </c>
      <c r="M29" s="668">
        <v>0</v>
      </c>
      <c r="N29" s="668">
        <v>0</v>
      </c>
      <c r="O29" s="668">
        <v>0</v>
      </c>
      <c r="P29" s="668">
        <v>0</v>
      </c>
      <c r="Q29" s="668">
        <v>0</v>
      </c>
      <c r="R29" s="668">
        <v>0</v>
      </c>
      <c r="S29" s="668">
        <v>0</v>
      </c>
      <c r="T29" s="668">
        <v>0</v>
      </c>
      <c r="U29" s="668">
        <v>0</v>
      </c>
      <c r="V29" s="668">
        <v>0</v>
      </c>
      <c r="W29" s="668">
        <v>0</v>
      </c>
      <c r="X29" s="668">
        <v>0</v>
      </c>
      <c r="Y29" s="668">
        <v>0</v>
      </c>
      <c r="Z29" s="668">
        <v>0</v>
      </c>
      <c r="AA29" s="668">
        <v>0</v>
      </c>
      <c r="AB29" s="668">
        <v>0</v>
      </c>
      <c r="AC29" s="668">
        <v>0</v>
      </c>
      <c r="AD29" s="668">
        <v>0</v>
      </c>
      <c r="AE29" s="671"/>
      <c r="AF29" s="672"/>
    </row>
    <row r="30" spans="2:32">
      <c r="B30" s="667" t="s">
        <v>349</v>
      </c>
      <c r="D30" s="667">
        <v>30</v>
      </c>
      <c r="E30" s="668">
        <v>0</v>
      </c>
      <c r="F30" s="668">
        <v>0</v>
      </c>
      <c r="G30" s="668">
        <v>0</v>
      </c>
      <c r="H30" s="668">
        <v>0</v>
      </c>
      <c r="I30" s="668">
        <v>0</v>
      </c>
      <c r="J30" s="668">
        <v>0</v>
      </c>
      <c r="K30" s="668">
        <v>0</v>
      </c>
      <c r="L30" s="668">
        <v>0</v>
      </c>
      <c r="M30" s="668">
        <v>0</v>
      </c>
      <c r="N30" s="668">
        <v>0</v>
      </c>
      <c r="O30" s="668">
        <v>0</v>
      </c>
      <c r="P30" s="668">
        <v>0</v>
      </c>
      <c r="Q30" s="668">
        <v>0</v>
      </c>
      <c r="R30" s="668">
        <v>0</v>
      </c>
      <c r="S30" s="668">
        <v>0</v>
      </c>
      <c r="T30" s="668">
        <v>0</v>
      </c>
      <c r="U30" s="668">
        <v>0</v>
      </c>
      <c r="V30" s="668">
        <v>0</v>
      </c>
      <c r="W30" s="668">
        <v>0</v>
      </c>
      <c r="X30" s="668">
        <v>0</v>
      </c>
      <c r="Y30" s="668">
        <v>0</v>
      </c>
      <c r="Z30" s="668">
        <v>0</v>
      </c>
      <c r="AA30" s="668">
        <v>0</v>
      </c>
      <c r="AB30" s="668">
        <v>0</v>
      </c>
      <c r="AC30" s="668">
        <v>0</v>
      </c>
      <c r="AD30" s="668">
        <v>0</v>
      </c>
      <c r="AE30" s="671"/>
      <c r="AF30" s="672"/>
    </row>
    <row r="31" spans="2:32">
      <c r="B31" s="667" t="s">
        <v>459</v>
      </c>
      <c r="D31" s="667">
        <v>31</v>
      </c>
      <c r="E31" s="668">
        <v>0</v>
      </c>
      <c r="F31" s="668">
        <v>0</v>
      </c>
      <c r="G31" s="668">
        <v>0</v>
      </c>
      <c r="H31" s="668">
        <v>0</v>
      </c>
      <c r="I31" s="668">
        <v>0</v>
      </c>
      <c r="J31" s="668">
        <v>0</v>
      </c>
      <c r="K31" s="668">
        <v>0</v>
      </c>
      <c r="L31" s="668">
        <v>0</v>
      </c>
      <c r="M31" s="668">
        <v>0</v>
      </c>
      <c r="N31" s="668">
        <v>0</v>
      </c>
      <c r="O31" s="668">
        <v>0</v>
      </c>
      <c r="P31" s="668">
        <v>0</v>
      </c>
      <c r="Q31" s="668">
        <v>0</v>
      </c>
      <c r="R31" s="668">
        <v>0</v>
      </c>
      <c r="S31" s="668">
        <v>0</v>
      </c>
      <c r="T31" s="668">
        <v>0</v>
      </c>
      <c r="U31" s="668">
        <v>0</v>
      </c>
      <c r="V31" s="668">
        <v>0</v>
      </c>
      <c r="W31" s="668">
        <v>0</v>
      </c>
      <c r="X31" s="668">
        <v>0</v>
      </c>
      <c r="Y31" s="668">
        <v>0</v>
      </c>
      <c r="Z31" s="668">
        <v>0</v>
      </c>
      <c r="AA31" s="668">
        <v>0</v>
      </c>
      <c r="AB31" s="668">
        <v>0</v>
      </c>
      <c r="AC31" s="668">
        <v>0</v>
      </c>
      <c r="AD31" s="668">
        <v>0</v>
      </c>
      <c r="AE31" s="671"/>
      <c r="AF31" s="672"/>
    </row>
    <row r="32" spans="2:32">
      <c r="C32" s="675" t="s">
        <v>368</v>
      </c>
      <c r="D32" s="667">
        <v>32</v>
      </c>
      <c r="E32" s="676">
        <f t="shared" ref="E32:M32" si="8">SUM(E27:E31)</f>
        <v>0</v>
      </c>
      <c r="F32" s="676">
        <f t="shared" si="8"/>
        <v>0</v>
      </c>
      <c r="G32" s="676">
        <f t="shared" si="8"/>
        <v>0</v>
      </c>
      <c r="H32" s="676">
        <f t="shared" si="8"/>
        <v>0</v>
      </c>
      <c r="I32" s="676">
        <f t="shared" si="8"/>
        <v>0</v>
      </c>
      <c r="J32" s="676">
        <f t="shared" si="8"/>
        <v>7600</v>
      </c>
      <c r="K32" s="676">
        <f t="shared" si="8"/>
        <v>0</v>
      </c>
      <c r="L32" s="676">
        <f t="shared" si="8"/>
        <v>0</v>
      </c>
      <c r="M32" s="676">
        <f t="shared" si="8"/>
        <v>0</v>
      </c>
      <c r="N32" s="676">
        <f t="shared" ref="N32:X32" si="9">SUM(N27:N31)</f>
        <v>0</v>
      </c>
      <c r="O32" s="676">
        <f>SUM(O27:O31)</f>
        <v>0</v>
      </c>
      <c r="P32" s="676">
        <f>SUM(P27:P31)</f>
        <v>0</v>
      </c>
      <c r="Q32" s="676">
        <f>SUM(Q27:Q31)</f>
        <v>0</v>
      </c>
      <c r="R32" s="676">
        <f>SUM(R27:R31)</f>
        <v>0</v>
      </c>
      <c r="S32" s="676">
        <f>SUM(S27:S31)</f>
        <v>0</v>
      </c>
      <c r="T32" s="676">
        <f t="shared" si="9"/>
        <v>0</v>
      </c>
      <c r="U32" s="677">
        <f>SUM(U27:U31)</f>
        <v>0</v>
      </c>
      <c r="V32" s="676">
        <f t="shared" si="9"/>
        <v>0</v>
      </c>
      <c r="W32" s="676">
        <f t="shared" si="9"/>
        <v>0</v>
      </c>
      <c r="X32" s="676">
        <f t="shared" si="9"/>
        <v>0</v>
      </c>
      <c r="Y32" s="676">
        <f>SUM(Y27:Y31)</f>
        <v>0</v>
      </c>
      <c r="Z32" s="676">
        <f>SUM(Z27:Z31)</f>
        <v>0</v>
      </c>
      <c r="AA32" s="676">
        <f t="shared" ref="AA32:AD32" si="10">SUM(AA27:AA31)</f>
        <v>0</v>
      </c>
      <c r="AB32" s="676">
        <f t="shared" si="10"/>
        <v>0</v>
      </c>
      <c r="AC32" s="676">
        <f t="shared" si="10"/>
        <v>0</v>
      </c>
      <c r="AD32" s="676">
        <f t="shared" si="10"/>
        <v>0</v>
      </c>
      <c r="AE32" s="677">
        <f>SUM(AE27:AE31)</f>
        <v>0</v>
      </c>
      <c r="AF32" s="672"/>
    </row>
    <row r="33" spans="1:32" ht="15.75" thickBot="1">
      <c r="C33" s="675"/>
      <c r="D33" s="667">
        <v>33</v>
      </c>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72"/>
    </row>
    <row r="34" spans="1:32" ht="15.75" thickBot="1">
      <c r="C34" s="682" t="s">
        <v>350</v>
      </c>
      <c r="D34" s="667">
        <v>34</v>
      </c>
      <c r="E34" s="683">
        <f>SUM(E32,E22:E25,E20,E12,E8,E14)</f>
        <v>9516535</v>
      </c>
      <c r="F34" s="683">
        <f t="shared" ref="F34:AD34" si="11">SUM(F32,F22:F25,F20,F12,F8,F14)</f>
        <v>269509</v>
      </c>
      <c r="G34" s="683">
        <f t="shared" si="11"/>
        <v>165033</v>
      </c>
      <c r="H34" s="683">
        <f t="shared" si="11"/>
        <v>3815268</v>
      </c>
      <c r="I34" s="683">
        <f t="shared" si="11"/>
        <v>2901114</v>
      </c>
      <c r="J34" s="683">
        <f t="shared" si="11"/>
        <v>324271</v>
      </c>
      <c r="K34" s="683">
        <f t="shared" si="11"/>
        <v>936455</v>
      </c>
      <c r="L34" s="683">
        <f t="shared" si="11"/>
        <v>2974829</v>
      </c>
      <c r="M34" s="683">
        <f t="shared" si="11"/>
        <v>6202672</v>
      </c>
      <c r="N34" s="683">
        <f t="shared" si="11"/>
        <v>0</v>
      </c>
      <c r="O34" s="683">
        <f t="shared" si="11"/>
        <v>7080944</v>
      </c>
      <c r="P34" s="683">
        <f t="shared" si="11"/>
        <v>0</v>
      </c>
      <c r="Q34" s="683">
        <f t="shared" si="11"/>
        <v>6</v>
      </c>
      <c r="R34" s="683">
        <f t="shared" si="11"/>
        <v>2518</v>
      </c>
      <c r="S34" s="683">
        <f t="shared" si="11"/>
        <v>598867</v>
      </c>
      <c r="T34" s="683">
        <f t="shared" si="11"/>
        <v>0</v>
      </c>
      <c r="U34" s="683">
        <f t="shared" si="11"/>
        <v>38446</v>
      </c>
      <c r="V34" s="683">
        <f t="shared" si="11"/>
        <v>0</v>
      </c>
      <c r="W34" s="683">
        <f t="shared" si="11"/>
        <v>0</v>
      </c>
      <c r="X34" s="683">
        <f t="shared" si="11"/>
        <v>5768216</v>
      </c>
      <c r="Y34" s="683">
        <f t="shared" si="11"/>
        <v>2258198</v>
      </c>
      <c r="Z34" s="683">
        <f t="shared" si="11"/>
        <v>135852</v>
      </c>
      <c r="AA34" s="683">
        <f t="shared" si="11"/>
        <v>228527</v>
      </c>
      <c r="AB34" s="683">
        <f t="shared" si="11"/>
        <v>5598</v>
      </c>
      <c r="AC34" s="683">
        <f t="shared" si="11"/>
        <v>4233129</v>
      </c>
      <c r="AD34" s="683">
        <f t="shared" si="11"/>
        <v>0</v>
      </c>
      <c r="AE34" s="684">
        <f t="shared" ref="AE34" si="12">SUM(AE32,AE22:AE25,AE20,AE12,AE8)</f>
        <v>95096116</v>
      </c>
    </row>
    <row r="35" spans="1:32" ht="15.75">
      <c r="C35" s="666"/>
      <c r="D35" s="667">
        <v>35</v>
      </c>
      <c r="E35" s="667"/>
      <c r="F35" s="667"/>
      <c r="I35" s="667"/>
      <c r="J35" s="667"/>
      <c r="K35" s="667"/>
      <c r="L35" s="667"/>
      <c r="M35" s="667"/>
      <c r="N35" s="667"/>
      <c r="O35" s="667"/>
      <c r="P35" s="667"/>
      <c r="Q35" s="667"/>
      <c r="R35" s="667"/>
      <c r="S35" s="667"/>
      <c r="T35" s="667"/>
      <c r="U35" s="667"/>
      <c r="V35" s="667"/>
      <c r="W35" s="667"/>
      <c r="Y35" s="667"/>
    </row>
    <row r="36" spans="1:32" ht="15.75">
      <c r="A36" s="666" t="s">
        <v>631</v>
      </c>
      <c r="D36" s="667">
        <v>36</v>
      </c>
      <c r="E36" s="668">
        <v>0</v>
      </c>
      <c r="F36" s="668">
        <v>0</v>
      </c>
      <c r="G36" s="668">
        <v>0</v>
      </c>
      <c r="H36" s="668">
        <v>0</v>
      </c>
      <c r="I36" s="668">
        <v>0</v>
      </c>
      <c r="J36" s="668">
        <v>0</v>
      </c>
      <c r="K36" s="668">
        <v>0</v>
      </c>
      <c r="L36" s="668">
        <v>0</v>
      </c>
      <c r="M36" s="668">
        <v>0</v>
      </c>
      <c r="N36" s="668">
        <v>0</v>
      </c>
      <c r="O36" s="668">
        <v>0</v>
      </c>
      <c r="P36" s="668">
        <v>0</v>
      </c>
      <c r="Q36" s="668">
        <v>0</v>
      </c>
      <c r="R36" s="668">
        <v>0</v>
      </c>
      <c r="S36" s="668">
        <v>0</v>
      </c>
      <c r="T36" s="668">
        <v>0</v>
      </c>
      <c r="U36" s="668">
        <v>0</v>
      </c>
      <c r="V36" s="668">
        <v>0</v>
      </c>
      <c r="W36" s="668">
        <v>0</v>
      </c>
      <c r="X36" s="668">
        <v>0</v>
      </c>
      <c r="Y36" s="668">
        <v>0</v>
      </c>
      <c r="Z36" s="668">
        <v>0</v>
      </c>
      <c r="AA36" s="668">
        <v>0</v>
      </c>
      <c r="AB36" s="668">
        <v>0</v>
      </c>
      <c r="AC36" s="668">
        <v>0</v>
      </c>
      <c r="AD36" s="668">
        <v>0</v>
      </c>
    </row>
    <row r="37" spans="1:32" ht="16.5" thickBot="1">
      <c r="A37" s="666"/>
      <c r="D37" s="667">
        <v>37</v>
      </c>
      <c r="E37" s="667"/>
      <c r="F37" s="667"/>
      <c r="I37" s="667"/>
      <c r="J37" s="667"/>
      <c r="K37" s="667"/>
      <c r="L37" s="667"/>
      <c r="M37" s="667"/>
      <c r="N37" s="667"/>
      <c r="O37" s="667"/>
      <c r="P37" s="667"/>
      <c r="Q37" s="667"/>
      <c r="R37" s="667"/>
      <c r="S37" s="667"/>
      <c r="T37" s="667"/>
      <c r="U37" s="667"/>
      <c r="V37" s="667"/>
      <c r="W37" s="667"/>
      <c r="Y37" s="667"/>
    </row>
    <row r="38" spans="1:32" ht="16.5" hidden="1" thickBot="1">
      <c r="A38" s="666"/>
      <c r="D38" s="667">
        <v>38</v>
      </c>
      <c r="E38" s="667"/>
      <c r="F38" s="667"/>
      <c r="I38" s="667"/>
      <c r="J38" s="667"/>
      <c r="K38" s="667"/>
      <c r="L38" s="667"/>
      <c r="M38" s="667"/>
      <c r="N38" s="667"/>
      <c r="O38" s="667"/>
      <c r="P38" s="667"/>
      <c r="Q38" s="667"/>
      <c r="R38" s="667"/>
      <c r="S38" s="667"/>
      <c r="T38" s="667"/>
      <c r="U38" s="667"/>
      <c r="V38" s="667"/>
      <c r="W38" s="667"/>
      <c r="Y38" s="667"/>
    </row>
    <row r="39" spans="1:32" ht="16.5" hidden="1" thickBot="1">
      <c r="A39" s="666"/>
      <c r="B39" s="666"/>
      <c r="D39" s="667">
        <v>39</v>
      </c>
      <c r="E39" s="667"/>
      <c r="F39" s="667"/>
      <c r="I39" s="667"/>
      <c r="J39" s="667"/>
      <c r="K39" s="667"/>
      <c r="L39" s="667"/>
      <c r="M39" s="667"/>
      <c r="N39" s="667"/>
      <c r="O39" s="667"/>
      <c r="P39" s="667"/>
      <c r="Q39" s="667"/>
      <c r="R39" s="667"/>
      <c r="S39" s="667"/>
      <c r="T39" s="667"/>
      <c r="U39" s="667"/>
      <c r="V39" s="667"/>
      <c r="W39" s="667"/>
      <c r="Y39" s="667"/>
    </row>
    <row r="40" spans="1:32" ht="16.5" hidden="1" thickBot="1">
      <c r="A40" s="666"/>
      <c r="B40" s="666"/>
      <c r="D40" s="667">
        <v>40</v>
      </c>
      <c r="E40" s="667"/>
      <c r="F40" s="667"/>
      <c r="I40" s="667"/>
      <c r="J40" s="667"/>
      <c r="K40" s="667"/>
      <c r="L40" s="667"/>
      <c r="M40" s="667"/>
      <c r="N40" s="667"/>
      <c r="O40" s="667"/>
      <c r="P40" s="667"/>
      <c r="Q40" s="667"/>
      <c r="R40" s="667"/>
      <c r="S40" s="667"/>
      <c r="T40" s="667"/>
      <c r="U40" s="667"/>
      <c r="V40" s="667"/>
      <c r="W40" s="667"/>
      <c r="Y40" s="667"/>
    </row>
    <row r="41" spans="1:32" ht="16.5" thickBot="1">
      <c r="A41" s="666"/>
      <c r="B41" s="666"/>
      <c r="C41" s="682" t="s">
        <v>633</v>
      </c>
      <c r="D41" s="667">
        <v>41</v>
      </c>
      <c r="E41" s="685">
        <f>E34+E36</f>
        <v>9516535</v>
      </c>
      <c r="F41" s="686">
        <f t="shared" ref="F41:M41" si="13">F34+F36</f>
        <v>269509</v>
      </c>
      <c r="G41" s="685">
        <f t="shared" si="13"/>
        <v>165033</v>
      </c>
      <c r="H41" s="685">
        <f t="shared" si="13"/>
        <v>3815268</v>
      </c>
      <c r="I41" s="685">
        <f t="shared" si="13"/>
        <v>2901114</v>
      </c>
      <c r="J41" s="685">
        <f t="shared" si="13"/>
        <v>324271</v>
      </c>
      <c r="K41" s="685">
        <f t="shared" si="13"/>
        <v>936455</v>
      </c>
      <c r="L41" s="685">
        <f t="shared" si="13"/>
        <v>2974829</v>
      </c>
      <c r="M41" s="685">
        <f t="shared" si="13"/>
        <v>6202672</v>
      </c>
      <c r="N41" s="685">
        <f t="shared" ref="N41:AD41" si="14">N34+N36</f>
        <v>0</v>
      </c>
      <c r="O41" s="685">
        <f>O34+O36</f>
        <v>7080944</v>
      </c>
      <c r="P41" s="685">
        <f>P34+P36</f>
        <v>0</v>
      </c>
      <c r="Q41" s="685">
        <f>Q34+Q36</f>
        <v>6</v>
      </c>
      <c r="R41" s="685">
        <f>R34+R36</f>
        <v>2518</v>
      </c>
      <c r="S41" s="685">
        <f>S34+S36</f>
        <v>598867</v>
      </c>
      <c r="T41" s="685">
        <f t="shared" si="14"/>
        <v>0</v>
      </c>
      <c r="U41" s="685">
        <f>U34+U36</f>
        <v>38446</v>
      </c>
      <c r="V41" s="685">
        <f t="shared" si="14"/>
        <v>0</v>
      </c>
      <c r="W41" s="685">
        <f t="shared" si="14"/>
        <v>0</v>
      </c>
      <c r="X41" s="685">
        <f t="shared" si="14"/>
        <v>5768216</v>
      </c>
      <c r="Y41" s="685">
        <f>Y34+Y36</f>
        <v>2258198</v>
      </c>
      <c r="Z41" s="685">
        <f t="shared" si="14"/>
        <v>135852</v>
      </c>
      <c r="AA41" s="685">
        <f t="shared" si="14"/>
        <v>228527</v>
      </c>
      <c r="AB41" s="685">
        <f t="shared" si="14"/>
        <v>5598</v>
      </c>
      <c r="AC41" s="685">
        <f t="shared" si="14"/>
        <v>4233129</v>
      </c>
      <c r="AD41" s="685">
        <f t="shared" si="14"/>
        <v>0</v>
      </c>
    </row>
    <row r="42" spans="1:32" ht="126.75" thickBot="1">
      <c r="D42" s="667">
        <v>42</v>
      </c>
      <c r="E42" s="663" t="s">
        <v>498</v>
      </c>
      <c r="F42" s="663" t="s">
        <v>499</v>
      </c>
      <c r="G42" s="663" t="s">
        <v>2560</v>
      </c>
      <c r="H42" s="663" t="s">
        <v>109</v>
      </c>
      <c r="I42" s="663" t="s">
        <v>59</v>
      </c>
      <c r="J42" s="663" t="s">
        <v>497</v>
      </c>
      <c r="K42" s="663" t="s">
        <v>2556</v>
      </c>
      <c r="L42" s="663" t="s">
        <v>267</v>
      </c>
      <c r="M42" s="663" t="s">
        <v>268</v>
      </c>
      <c r="N42" s="663" t="s">
        <v>120</v>
      </c>
      <c r="O42" s="663" t="s">
        <v>521</v>
      </c>
      <c r="P42" s="663" t="s">
        <v>494</v>
      </c>
      <c r="Q42" s="663" t="s">
        <v>493</v>
      </c>
      <c r="R42" s="663" t="s">
        <v>495</v>
      </c>
      <c r="S42" s="663" t="s">
        <v>254</v>
      </c>
      <c r="T42" s="663" t="s">
        <v>107</v>
      </c>
      <c r="U42" s="663" t="s">
        <v>496</v>
      </c>
      <c r="V42" s="663" t="s">
        <v>523</v>
      </c>
      <c r="W42" s="663" t="s">
        <v>492</v>
      </c>
      <c r="X42" s="663" t="s">
        <v>753</v>
      </c>
      <c r="Y42" s="663" t="s">
        <v>319</v>
      </c>
      <c r="Z42" s="663" t="s">
        <v>320</v>
      </c>
      <c r="AA42" s="663" t="s">
        <v>2887</v>
      </c>
      <c r="AB42" s="663" t="s">
        <v>2886</v>
      </c>
      <c r="AC42" s="663" t="s">
        <v>3099</v>
      </c>
      <c r="AD42" s="663" t="s">
        <v>2888</v>
      </c>
      <c r="AE42" s="687" t="s">
        <v>423</v>
      </c>
      <c r="AF42" s="688"/>
    </row>
    <row r="43" spans="1:32" ht="15.75">
      <c r="A43" s="666" t="s">
        <v>351</v>
      </c>
      <c r="D43" s="667">
        <v>43</v>
      </c>
      <c r="E43" s="667"/>
      <c r="F43" s="667"/>
      <c r="I43" s="667"/>
      <c r="J43" s="667"/>
      <c r="K43" s="667"/>
      <c r="L43" s="667"/>
      <c r="M43" s="667"/>
      <c r="N43" s="667"/>
      <c r="O43" s="667"/>
      <c r="P43" s="667"/>
      <c r="Q43" s="667"/>
      <c r="R43" s="667"/>
      <c r="S43" s="667"/>
      <c r="T43" s="667"/>
      <c r="U43" s="667"/>
      <c r="V43" s="667"/>
      <c r="W43" s="667"/>
      <c r="Y43" s="667"/>
    </row>
    <row r="44" spans="1:32">
      <c r="B44" s="689" t="s">
        <v>216</v>
      </c>
      <c r="C44" s="675"/>
      <c r="D44" s="667">
        <v>44</v>
      </c>
      <c r="E44" s="668">
        <v>0</v>
      </c>
      <c r="F44" s="669">
        <v>55579</v>
      </c>
      <c r="G44" s="668">
        <v>0</v>
      </c>
      <c r="H44" s="669">
        <v>1725</v>
      </c>
      <c r="I44" s="669">
        <v>300</v>
      </c>
      <c r="J44" s="668">
        <v>0</v>
      </c>
      <c r="K44" s="668">
        <v>0</v>
      </c>
      <c r="L44" s="669">
        <v>35677</v>
      </c>
      <c r="M44" s="668">
        <v>0</v>
      </c>
      <c r="N44" s="668">
        <v>0</v>
      </c>
      <c r="O44" s="668">
        <v>254163</v>
      </c>
      <c r="P44" s="668">
        <v>0</v>
      </c>
      <c r="Q44" s="668">
        <v>0</v>
      </c>
      <c r="R44" s="668">
        <v>0</v>
      </c>
      <c r="S44" s="669">
        <v>3186</v>
      </c>
      <c r="T44" s="668">
        <v>0</v>
      </c>
      <c r="U44" s="668">
        <v>0</v>
      </c>
      <c r="V44" s="668">
        <v>0</v>
      </c>
      <c r="W44" s="668">
        <v>0</v>
      </c>
      <c r="X44" s="668">
        <v>0</v>
      </c>
      <c r="Y44" s="668">
        <v>0</v>
      </c>
      <c r="Z44" s="668">
        <v>0</v>
      </c>
      <c r="AA44" s="668">
        <v>0</v>
      </c>
      <c r="AB44" s="668">
        <v>0</v>
      </c>
      <c r="AC44" s="668">
        <v>0</v>
      </c>
      <c r="AD44" s="668">
        <v>0</v>
      </c>
      <c r="AE44" s="671"/>
      <c r="AF44" s="672"/>
    </row>
    <row r="45" spans="1:32">
      <c r="B45" s="690" t="s">
        <v>281</v>
      </c>
      <c r="C45" s="675"/>
      <c r="D45" s="667">
        <v>45</v>
      </c>
      <c r="E45" s="668">
        <v>0</v>
      </c>
      <c r="F45" s="668">
        <v>0</v>
      </c>
      <c r="G45" s="668">
        <v>0</v>
      </c>
      <c r="H45" s="668">
        <v>0</v>
      </c>
      <c r="I45" s="669">
        <v>0</v>
      </c>
      <c r="J45" s="668">
        <v>0</v>
      </c>
      <c r="K45" s="668">
        <v>0</v>
      </c>
      <c r="L45" s="668">
        <v>0</v>
      </c>
      <c r="M45" s="668">
        <v>0</v>
      </c>
      <c r="N45" s="668">
        <v>0</v>
      </c>
      <c r="O45" s="668">
        <v>0</v>
      </c>
      <c r="P45" s="668">
        <v>0</v>
      </c>
      <c r="Q45" s="668">
        <v>0</v>
      </c>
      <c r="R45" s="668">
        <v>0</v>
      </c>
      <c r="S45" s="669">
        <v>8760</v>
      </c>
      <c r="T45" s="668">
        <v>0</v>
      </c>
      <c r="U45" s="668">
        <v>0</v>
      </c>
      <c r="V45" s="668">
        <v>0</v>
      </c>
      <c r="W45" s="668">
        <v>0</v>
      </c>
      <c r="X45" s="668">
        <v>0</v>
      </c>
      <c r="Y45" s="668">
        <v>0</v>
      </c>
      <c r="Z45" s="668">
        <v>0</v>
      </c>
      <c r="AA45" s="668">
        <v>0</v>
      </c>
      <c r="AB45" s="668">
        <v>0</v>
      </c>
      <c r="AC45" s="668">
        <v>0</v>
      </c>
      <c r="AD45" s="668">
        <v>0</v>
      </c>
      <c r="AE45" s="671"/>
      <c r="AF45" s="672"/>
    </row>
    <row r="46" spans="1:32">
      <c r="B46" s="689" t="s">
        <v>217</v>
      </c>
      <c r="C46" s="675"/>
      <c r="D46" s="667">
        <v>46</v>
      </c>
      <c r="E46" s="668">
        <v>0</v>
      </c>
      <c r="F46" s="668">
        <v>0</v>
      </c>
      <c r="G46" s="668">
        <v>0</v>
      </c>
      <c r="H46" s="668">
        <v>0</v>
      </c>
      <c r="I46" s="669">
        <v>0</v>
      </c>
      <c r="J46" s="668">
        <v>0</v>
      </c>
      <c r="K46" s="668">
        <v>0</v>
      </c>
      <c r="L46" s="668">
        <v>0</v>
      </c>
      <c r="M46" s="668">
        <v>0</v>
      </c>
      <c r="N46" s="668">
        <v>0</v>
      </c>
      <c r="O46" s="668">
        <v>0</v>
      </c>
      <c r="P46" s="668">
        <v>0</v>
      </c>
      <c r="Q46" s="668">
        <v>0</v>
      </c>
      <c r="R46" s="668">
        <v>0</v>
      </c>
      <c r="S46" s="669">
        <v>0</v>
      </c>
      <c r="T46" s="668">
        <v>0</v>
      </c>
      <c r="U46" s="668">
        <v>0</v>
      </c>
      <c r="V46" s="668">
        <v>0</v>
      </c>
      <c r="W46" s="668">
        <v>0</v>
      </c>
      <c r="X46" s="668">
        <v>0</v>
      </c>
      <c r="Y46" s="668">
        <v>0</v>
      </c>
      <c r="Z46" s="668">
        <v>0</v>
      </c>
      <c r="AA46" s="668">
        <v>0</v>
      </c>
      <c r="AB46" s="668">
        <v>0</v>
      </c>
      <c r="AC46" s="668">
        <v>0</v>
      </c>
      <c r="AD46" s="668">
        <v>0</v>
      </c>
      <c r="AE46" s="671">
        <v>0</v>
      </c>
      <c r="AF46" s="672"/>
    </row>
    <row r="47" spans="1:32">
      <c r="B47" s="689" t="s">
        <v>218</v>
      </c>
      <c r="C47" s="675"/>
      <c r="D47" s="667">
        <v>47</v>
      </c>
      <c r="E47" s="668">
        <v>0</v>
      </c>
      <c r="F47" s="668">
        <v>0</v>
      </c>
      <c r="G47" s="669"/>
      <c r="H47" s="668">
        <v>0</v>
      </c>
      <c r="I47" s="669">
        <v>0</v>
      </c>
      <c r="J47" s="668">
        <v>0</v>
      </c>
      <c r="K47" s="668">
        <v>0</v>
      </c>
      <c r="L47" s="668"/>
      <c r="M47" s="668">
        <v>0</v>
      </c>
      <c r="N47" s="668">
        <v>0</v>
      </c>
      <c r="O47" s="668">
        <v>0</v>
      </c>
      <c r="P47" s="668">
        <v>0</v>
      </c>
      <c r="Q47" s="668">
        <v>0</v>
      </c>
      <c r="R47" s="668">
        <v>0</v>
      </c>
      <c r="S47" s="669">
        <v>435876</v>
      </c>
      <c r="T47" s="668">
        <v>0</v>
      </c>
      <c r="U47" s="668">
        <v>0</v>
      </c>
      <c r="V47" s="668">
        <v>0</v>
      </c>
      <c r="W47" s="668">
        <v>0</v>
      </c>
      <c r="X47" s="668">
        <v>0</v>
      </c>
      <c r="Y47" s="668">
        <v>0</v>
      </c>
      <c r="Z47" s="668">
        <v>0</v>
      </c>
      <c r="AA47" s="668"/>
      <c r="AB47" s="668">
        <v>5334</v>
      </c>
      <c r="AC47" s="668">
        <v>0</v>
      </c>
      <c r="AD47" s="668">
        <v>0</v>
      </c>
      <c r="AE47" s="671"/>
      <c r="AF47" s="672"/>
    </row>
    <row r="48" spans="1:32">
      <c r="B48" s="691"/>
      <c r="C48" s="675" t="s">
        <v>230</v>
      </c>
      <c r="D48" s="667">
        <v>48</v>
      </c>
      <c r="E48" s="692">
        <f t="shared" ref="E48:L48" si="15">SUM(E44:E47)</f>
        <v>0</v>
      </c>
      <c r="F48" s="692">
        <f t="shared" si="15"/>
        <v>55579</v>
      </c>
      <c r="G48" s="692">
        <f t="shared" si="15"/>
        <v>0</v>
      </c>
      <c r="H48" s="692">
        <f t="shared" si="15"/>
        <v>1725</v>
      </c>
      <c r="I48" s="692">
        <f t="shared" si="15"/>
        <v>300</v>
      </c>
      <c r="J48" s="692">
        <f t="shared" si="15"/>
        <v>0</v>
      </c>
      <c r="K48" s="692">
        <f t="shared" si="15"/>
        <v>0</v>
      </c>
      <c r="L48" s="692">
        <f t="shared" si="15"/>
        <v>35677</v>
      </c>
      <c r="M48" s="692"/>
      <c r="N48" s="692">
        <f t="shared" ref="N48:AE48" si="16">SUM(N44:N47)</f>
        <v>0</v>
      </c>
      <c r="O48" s="692">
        <f>SUM(O44:O47)</f>
        <v>254163</v>
      </c>
      <c r="P48" s="692">
        <f>SUM(P44:P47)</f>
        <v>0</v>
      </c>
      <c r="Q48" s="692">
        <f>SUM(Q44:Q47)</f>
        <v>0</v>
      </c>
      <c r="R48" s="692">
        <f>SUM(R44:R47)</f>
        <v>0</v>
      </c>
      <c r="S48" s="693">
        <f>SUM(S44:S47)</f>
        <v>447822</v>
      </c>
      <c r="T48" s="692">
        <f t="shared" si="16"/>
        <v>0</v>
      </c>
      <c r="U48" s="694">
        <f>SUM(U44:U47)</f>
        <v>0</v>
      </c>
      <c r="V48" s="692">
        <f t="shared" si="16"/>
        <v>0</v>
      </c>
      <c r="W48" s="692">
        <f t="shared" si="16"/>
        <v>0</v>
      </c>
      <c r="X48" s="692">
        <f t="shared" si="16"/>
        <v>0</v>
      </c>
      <c r="Y48" s="692">
        <f>SUM(Y44:Y47)</f>
        <v>0</v>
      </c>
      <c r="Z48" s="693">
        <f>SUM(Z44:Z47)</f>
        <v>0</v>
      </c>
      <c r="AA48" s="693">
        <f t="shared" ref="AA48:AD48" si="17">SUM(AA44:AA47)</f>
        <v>0</v>
      </c>
      <c r="AB48" s="693">
        <f t="shared" si="17"/>
        <v>5334</v>
      </c>
      <c r="AC48" s="693">
        <f t="shared" si="17"/>
        <v>0</v>
      </c>
      <c r="AD48" s="693">
        <f t="shared" si="17"/>
        <v>0</v>
      </c>
      <c r="AE48" s="694">
        <f t="shared" si="16"/>
        <v>0</v>
      </c>
      <c r="AF48" s="672"/>
    </row>
    <row r="49" spans="2:32">
      <c r="B49" s="691"/>
      <c r="C49" s="675"/>
      <c r="D49" s="667">
        <v>49</v>
      </c>
      <c r="E49" s="695"/>
      <c r="F49" s="695"/>
      <c r="G49" s="695"/>
      <c r="H49" s="695"/>
      <c r="I49" s="695"/>
      <c r="J49" s="695"/>
      <c r="K49" s="695"/>
      <c r="L49" s="695"/>
      <c r="M49" s="695"/>
      <c r="N49" s="695"/>
      <c r="O49" s="695"/>
      <c r="P49" s="695"/>
      <c r="Q49" s="695"/>
      <c r="R49" s="695"/>
      <c r="S49" s="696"/>
      <c r="T49" s="695"/>
      <c r="U49" s="695"/>
      <c r="V49" s="695"/>
      <c r="W49" s="695"/>
      <c r="X49" s="695"/>
      <c r="Y49" s="695"/>
      <c r="Z49" s="696"/>
      <c r="AA49" s="696"/>
      <c r="AB49" s="696"/>
      <c r="AC49" s="696"/>
      <c r="AD49" s="696"/>
      <c r="AE49" s="695"/>
      <c r="AF49" s="672"/>
    </row>
    <row r="50" spans="2:32">
      <c r="B50" s="675" t="s">
        <v>352</v>
      </c>
      <c r="D50" s="667">
        <v>50</v>
      </c>
      <c r="E50" s="668">
        <v>0</v>
      </c>
      <c r="F50" s="668">
        <v>0</v>
      </c>
      <c r="G50" s="668">
        <v>0</v>
      </c>
      <c r="H50" s="668">
        <v>0</v>
      </c>
      <c r="I50" s="668">
        <v>0</v>
      </c>
      <c r="J50" s="668">
        <v>0</v>
      </c>
      <c r="K50" s="668">
        <v>0</v>
      </c>
      <c r="L50" s="668">
        <v>0</v>
      </c>
      <c r="M50" s="668">
        <v>0</v>
      </c>
      <c r="N50" s="668">
        <v>0</v>
      </c>
      <c r="O50" s="668">
        <v>0</v>
      </c>
      <c r="P50" s="668">
        <v>0</v>
      </c>
      <c r="Q50" s="668">
        <v>0</v>
      </c>
      <c r="R50" s="668">
        <v>0</v>
      </c>
      <c r="S50" s="668">
        <v>0</v>
      </c>
      <c r="T50" s="668">
        <v>0</v>
      </c>
      <c r="U50" s="668">
        <v>0</v>
      </c>
      <c r="V50" s="668">
        <v>0</v>
      </c>
      <c r="W50" s="668">
        <v>0</v>
      </c>
      <c r="X50" s="668">
        <v>0</v>
      </c>
      <c r="Y50" s="668">
        <v>0</v>
      </c>
      <c r="Z50" s="668">
        <v>0</v>
      </c>
      <c r="AA50" s="668">
        <v>0</v>
      </c>
      <c r="AB50" s="668">
        <v>0</v>
      </c>
      <c r="AC50" s="668">
        <v>0</v>
      </c>
      <c r="AD50" s="668">
        <v>0</v>
      </c>
      <c r="AE50" s="671"/>
      <c r="AF50" s="672"/>
    </row>
    <row r="51" spans="2:32">
      <c r="B51" s="675" t="s">
        <v>64</v>
      </c>
      <c r="D51" s="667">
        <v>51</v>
      </c>
      <c r="E51" s="668">
        <v>0</v>
      </c>
      <c r="F51" s="668">
        <v>0</v>
      </c>
      <c r="G51" s="668">
        <v>0</v>
      </c>
      <c r="H51" s="668">
        <v>0</v>
      </c>
      <c r="I51" s="668">
        <v>0</v>
      </c>
      <c r="J51" s="668">
        <v>0</v>
      </c>
      <c r="K51" s="668">
        <v>0</v>
      </c>
      <c r="L51" s="668">
        <v>0</v>
      </c>
      <c r="M51" s="668">
        <v>0</v>
      </c>
      <c r="N51" s="668">
        <v>0</v>
      </c>
      <c r="O51" s="668">
        <v>0</v>
      </c>
      <c r="P51" s="668">
        <v>0</v>
      </c>
      <c r="Q51" s="668">
        <v>0</v>
      </c>
      <c r="R51" s="668">
        <v>0</v>
      </c>
      <c r="S51" s="668">
        <v>0</v>
      </c>
      <c r="T51" s="668">
        <v>0</v>
      </c>
      <c r="U51" s="668">
        <v>0</v>
      </c>
      <c r="V51" s="668">
        <v>0</v>
      </c>
      <c r="W51" s="668">
        <v>0</v>
      </c>
      <c r="X51" s="668">
        <v>0</v>
      </c>
      <c r="Y51" s="668">
        <v>0</v>
      </c>
      <c r="Z51" s="668">
        <v>0</v>
      </c>
      <c r="AA51" s="668">
        <v>0</v>
      </c>
      <c r="AB51" s="668">
        <v>0</v>
      </c>
      <c r="AC51" s="668">
        <v>0</v>
      </c>
      <c r="AD51" s="668">
        <v>0</v>
      </c>
      <c r="AE51" s="671"/>
      <c r="AF51" s="672"/>
    </row>
    <row r="52" spans="2:32">
      <c r="B52" s="667" t="s">
        <v>65</v>
      </c>
      <c r="D52" s="667">
        <v>52</v>
      </c>
      <c r="E52" s="668">
        <v>0</v>
      </c>
      <c r="F52" s="668">
        <v>0</v>
      </c>
      <c r="G52" s="668">
        <v>0</v>
      </c>
      <c r="H52" s="668">
        <v>0</v>
      </c>
      <c r="I52" s="669">
        <v>375474</v>
      </c>
      <c r="J52" s="668">
        <v>0</v>
      </c>
      <c r="K52" s="668">
        <v>0</v>
      </c>
      <c r="L52" s="668">
        <v>0</v>
      </c>
      <c r="M52" s="668">
        <v>0</v>
      </c>
      <c r="N52" s="668">
        <v>0</v>
      </c>
      <c r="O52" s="668">
        <v>2671</v>
      </c>
      <c r="P52" s="668">
        <v>0</v>
      </c>
      <c r="Q52" s="668">
        <v>0</v>
      </c>
      <c r="R52" s="668">
        <v>0</v>
      </c>
      <c r="S52" s="669">
        <v>9816</v>
      </c>
      <c r="T52" s="668">
        <v>0</v>
      </c>
      <c r="U52" s="668">
        <v>0</v>
      </c>
      <c r="V52" s="668">
        <v>0</v>
      </c>
      <c r="W52" s="668">
        <v>0</v>
      </c>
      <c r="X52" s="668">
        <v>0</v>
      </c>
      <c r="Y52" s="668">
        <v>0</v>
      </c>
      <c r="Z52" s="668">
        <v>0</v>
      </c>
      <c r="AA52" s="668">
        <v>0</v>
      </c>
      <c r="AB52" s="668">
        <v>0</v>
      </c>
      <c r="AC52" s="668">
        <v>0</v>
      </c>
      <c r="AD52" s="668">
        <v>0</v>
      </c>
      <c r="AE52" s="671">
        <v>9473857</v>
      </c>
      <c r="AF52" s="672"/>
    </row>
    <row r="53" spans="2:32">
      <c r="B53" s="667" t="s">
        <v>470</v>
      </c>
      <c r="D53" s="667">
        <v>53</v>
      </c>
      <c r="E53" s="668">
        <v>0</v>
      </c>
      <c r="F53" s="668">
        <v>0</v>
      </c>
      <c r="G53" s="668">
        <v>0</v>
      </c>
      <c r="H53" s="668">
        <v>0</v>
      </c>
      <c r="I53" s="668">
        <v>0</v>
      </c>
      <c r="J53" s="668">
        <v>0</v>
      </c>
      <c r="K53" s="668">
        <v>0</v>
      </c>
      <c r="L53" s="668">
        <v>0</v>
      </c>
      <c r="M53" s="668">
        <v>0</v>
      </c>
      <c r="N53" s="668">
        <v>0</v>
      </c>
      <c r="O53" s="668">
        <v>0</v>
      </c>
      <c r="P53" s="668">
        <v>0</v>
      </c>
      <c r="Q53" s="668">
        <v>0</v>
      </c>
      <c r="R53" s="668">
        <v>0</v>
      </c>
      <c r="S53" s="668">
        <v>0</v>
      </c>
      <c r="T53" s="668">
        <v>0</v>
      </c>
      <c r="U53" s="668">
        <v>0</v>
      </c>
      <c r="V53" s="668">
        <v>0</v>
      </c>
      <c r="W53" s="668">
        <v>0</v>
      </c>
      <c r="X53" s="668">
        <v>0</v>
      </c>
      <c r="Y53" s="668">
        <v>0</v>
      </c>
      <c r="Z53" s="668">
        <v>0</v>
      </c>
      <c r="AA53" s="668">
        <v>0</v>
      </c>
      <c r="AB53" s="668">
        <v>0</v>
      </c>
      <c r="AC53" s="668">
        <v>0</v>
      </c>
      <c r="AD53" s="668">
        <v>0</v>
      </c>
      <c r="AE53" s="671">
        <v>0</v>
      </c>
      <c r="AF53" s="672"/>
    </row>
    <row r="54" spans="2:32">
      <c r="B54" s="675"/>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4"/>
      <c r="AF54" s="672"/>
    </row>
    <row r="55" spans="2:32">
      <c r="B55" s="675" t="s">
        <v>232</v>
      </c>
      <c r="D55" s="667">
        <v>55</v>
      </c>
      <c r="E55" s="668">
        <v>0</v>
      </c>
      <c r="F55" s="668">
        <v>0</v>
      </c>
      <c r="G55" s="668">
        <v>0</v>
      </c>
      <c r="H55" s="668">
        <v>0</v>
      </c>
      <c r="I55" s="668">
        <v>0</v>
      </c>
      <c r="J55" s="668">
        <v>0</v>
      </c>
      <c r="K55" s="668">
        <v>0</v>
      </c>
      <c r="L55" s="668">
        <v>0</v>
      </c>
      <c r="M55" s="668">
        <v>0</v>
      </c>
      <c r="N55" s="668">
        <v>0</v>
      </c>
      <c r="O55" s="668">
        <v>0</v>
      </c>
      <c r="P55" s="668">
        <v>0</v>
      </c>
      <c r="Q55" s="668">
        <v>0</v>
      </c>
      <c r="R55" s="668">
        <v>0</v>
      </c>
      <c r="S55" s="668">
        <v>0</v>
      </c>
      <c r="T55" s="668">
        <v>0</v>
      </c>
      <c r="U55" s="668">
        <v>0</v>
      </c>
      <c r="V55" s="668">
        <v>0</v>
      </c>
      <c r="W55" s="668">
        <v>0</v>
      </c>
      <c r="X55" s="668">
        <v>0</v>
      </c>
      <c r="Y55" s="668">
        <v>0</v>
      </c>
      <c r="Z55" s="668">
        <v>0</v>
      </c>
      <c r="AA55" s="668">
        <v>0</v>
      </c>
      <c r="AB55" s="668">
        <v>0</v>
      </c>
      <c r="AC55" s="668">
        <v>0</v>
      </c>
      <c r="AD55" s="668">
        <v>0</v>
      </c>
      <c r="AE55" s="671"/>
      <c r="AF55" s="672"/>
    </row>
    <row r="56" spans="2:32">
      <c r="B56" s="675"/>
      <c r="D56" s="667">
        <v>56</v>
      </c>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2"/>
    </row>
    <row r="57" spans="2:32">
      <c r="B57" s="667" t="s">
        <v>356</v>
      </c>
      <c r="D57" s="667">
        <v>57</v>
      </c>
      <c r="E57" s="668">
        <v>0</v>
      </c>
      <c r="F57" s="668">
        <v>0</v>
      </c>
      <c r="G57" s="668">
        <v>0</v>
      </c>
      <c r="H57" s="668">
        <v>0</v>
      </c>
      <c r="I57" s="668">
        <v>0</v>
      </c>
      <c r="J57" s="668">
        <v>0</v>
      </c>
      <c r="K57" s="668">
        <v>0</v>
      </c>
      <c r="L57" s="668">
        <v>0</v>
      </c>
      <c r="M57" s="668">
        <v>0</v>
      </c>
      <c r="N57" s="668">
        <v>0</v>
      </c>
      <c r="O57" s="668">
        <v>0</v>
      </c>
      <c r="P57" s="668">
        <v>0</v>
      </c>
      <c r="Q57" s="668">
        <v>0</v>
      </c>
      <c r="R57" s="668">
        <v>0</v>
      </c>
      <c r="S57" s="668">
        <v>0</v>
      </c>
      <c r="T57" s="668">
        <v>0</v>
      </c>
      <c r="U57" s="668">
        <v>0</v>
      </c>
      <c r="V57" s="668">
        <v>0</v>
      </c>
      <c r="W57" s="668">
        <v>0</v>
      </c>
      <c r="X57" s="668">
        <v>0</v>
      </c>
      <c r="Y57" s="668">
        <v>0</v>
      </c>
      <c r="Z57" s="668">
        <v>0</v>
      </c>
      <c r="AA57" s="668">
        <v>228527</v>
      </c>
      <c r="AB57" s="668">
        <v>0</v>
      </c>
      <c r="AC57" s="669">
        <v>4233129</v>
      </c>
      <c r="AD57" s="668">
        <v>0</v>
      </c>
      <c r="AE57" s="671"/>
      <c r="AF57" s="672"/>
    </row>
    <row r="58" spans="2:32">
      <c r="B58" s="667" t="s">
        <v>355</v>
      </c>
      <c r="D58" s="667">
        <v>58</v>
      </c>
      <c r="E58" s="668">
        <v>0</v>
      </c>
      <c r="F58" s="668">
        <v>0</v>
      </c>
      <c r="G58" s="668">
        <v>0</v>
      </c>
      <c r="H58" s="668">
        <v>0</v>
      </c>
      <c r="I58" s="668">
        <v>0</v>
      </c>
      <c r="J58" s="669">
        <v>46314</v>
      </c>
      <c r="K58" s="668">
        <v>0</v>
      </c>
      <c r="L58" s="668">
        <v>0</v>
      </c>
      <c r="M58" s="668">
        <v>0</v>
      </c>
      <c r="N58" s="668">
        <v>0</v>
      </c>
      <c r="O58" s="669">
        <v>1092139</v>
      </c>
      <c r="P58" s="668">
        <v>0</v>
      </c>
      <c r="Q58" s="668">
        <v>0</v>
      </c>
      <c r="R58" s="668">
        <v>0</v>
      </c>
      <c r="S58" s="668">
        <v>0</v>
      </c>
      <c r="T58" s="668">
        <v>0</v>
      </c>
      <c r="U58" s="668">
        <v>0</v>
      </c>
      <c r="V58" s="668">
        <v>0</v>
      </c>
      <c r="W58" s="668">
        <v>0</v>
      </c>
      <c r="X58" s="668">
        <v>0</v>
      </c>
      <c r="Y58" s="668">
        <v>0</v>
      </c>
      <c r="Z58" s="668">
        <v>0</v>
      </c>
      <c r="AA58" s="668">
        <v>0</v>
      </c>
      <c r="AB58" s="668">
        <v>0</v>
      </c>
      <c r="AC58" s="668">
        <v>0</v>
      </c>
      <c r="AD58" s="668">
        <v>0</v>
      </c>
      <c r="AE58" s="671"/>
      <c r="AF58" s="672"/>
    </row>
    <row r="59" spans="2:32">
      <c r="D59" s="667">
        <v>59</v>
      </c>
      <c r="E59" s="692"/>
      <c r="F59" s="692">
        <v>0</v>
      </c>
      <c r="G59" s="692"/>
      <c r="H59" s="692"/>
      <c r="I59" s="692"/>
      <c r="J59" s="692"/>
      <c r="K59" s="692"/>
      <c r="L59" s="692"/>
      <c r="M59" s="692"/>
      <c r="N59" s="692"/>
      <c r="O59" s="692"/>
      <c r="P59" s="692"/>
      <c r="Q59" s="692"/>
      <c r="R59" s="692"/>
      <c r="S59" s="692"/>
      <c r="T59" s="692"/>
      <c r="U59" s="694"/>
      <c r="V59" s="692"/>
      <c r="W59" s="692"/>
      <c r="X59" s="692"/>
      <c r="Y59" s="692"/>
      <c r="Z59" s="692"/>
      <c r="AA59" s="692">
        <v>0</v>
      </c>
      <c r="AB59" s="692">
        <v>0</v>
      </c>
      <c r="AC59" s="692">
        <v>0</v>
      </c>
      <c r="AD59" s="692">
        <v>0</v>
      </c>
      <c r="AE59" s="694"/>
      <c r="AF59" s="672"/>
    </row>
    <row r="60" spans="2:32">
      <c r="C60" s="675" t="s">
        <v>367</v>
      </c>
      <c r="D60" s="667">
        <v>60</v>
      </c>
      <c r="E60" s="676">
        <f t="shared" ref="E60:AC60" si="18">SUM(E57:E59)</f>
        <v>0</v>
      </c>
      <c r="F60" s="676">
        <f t="shared" si="18"/>
        <v>0</v>
      </c>
      <c r="G60" s="676">
        <f t="shared" si="18"/>
        <v>0</v>
      </c>
      <c r="H60" s="676">
        <f t="shared" si="18"/>
        <v>0</v>
      </c>
      <c r="I60" s="676">
        <f t="shared" si="18"/>
        <v>0</v>
      </c>
      <c r="J60" s="676">
        <f t="shared" si="18"/>
        <v>46314</v>
      </c>
      <c r="K60" s="676">
        <f t="shared" si="18"/>
        <v>0</v>
      </c>
      <c r="L60" s="676">
        <f t="shared" si="18"/>
        <v>0</v>
      </c>
      <c r="M60" s="676">
        <f t="shared" si="18"/>
        <v>0</v>
      </c>
      <c r="N60" s="676">
        <f t="shared" si="18"/>
        <v>0</v>
      </c>
      <c r="O60" s="676">
        <f t="shared" si="18"/>
        <v>1092139</v>
      </c>
      <c r="P60" s="676">
        <f t="shared" si="18"/>
        <v>0</v>
      </c>
      <c r="Q60" s="676">
        <f t="shared" si="18"/>
        <v>0</v>
      </c>
      <c r="R60" s="676">
        <f t="shared" si="18"/>
        <v>0</v>
      </c>
      <c r="S60" s="676">
        <f t="shared" si="18"/>
        <v>0</v>
      </c>
      <c r="T60" s="676">
        <f t="shared" si="18"/>
        <v>0</v>
      </c>
      <c r="U60" s="676">
        <f t="shared" si="18"/>
        <v>0</v>
      </c>
      <c r="V60" s="676">
        <f t="shared" si="18"/>
        <v>0</v>
      </c>
      <c r="W60" s="676">
        <f t="shared" si="18"/>
        <v>0</v>
      </c>
      <c r="X60" s="676">
        <f t="shared" si="18"/>
        <v>0</v>
      </c>
      <c r="Y60" s="676">
        <f t="shared" si="18"/>
        <v>0</v>
      </c>
      <c r="Z60" s="676">
        <f t="shared" si="18"/>
        <v>0</v>
      </c>
      <c r="AA60" s="676">
        <f t="shared" si="18"/>
        <v>228527</v>
      </c>
      <c r="AB60" s="676">
        <f t="shared" si="18"/>
        <v>0</v>
      </c>
      <c r="AC60" s="676">
        <f t="shared" si="18"/>
        <v>4233129</v>
      </c>
      <c r="AD60" s="676">
        <f>SUM(AD57:AD59)</f>
        <v>0</v>
      </c>
      <c r="AE60" s="677">
        <f>SUM(AE58:AE59)</f>
        <v>0</v>
      </c>
      <c r="AF60" s="680"/>
    </row>
    <row r="61" spans="2:32">
      <c r="C61" s="675"/>
      <c r="D61" s="667">
        <v>61</v>
      </c>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2"/>
    </row>
    <row r="62" spans="2:32">
      <c r="B62" s="667" t="s">
        <v>424</v>
      </c>
      <c r="C62" s="675"/>
      <c r="D62" s="667">
        <v>62</v>
      </c>
      <c r="E62" s="668">
        <v>0</v>
      </c>
      <c r="F62" s="668">
        <v>0</v>
      </c>
      <c r="G62" s="668">
        <v>0</v>
      </c>
      <c r="H62" s="668">
        <v>0</v>
      </c>
      <c r="I62" s="668">
        <v>0</v>
      </c>
      <c r="J62" s="668">
        <v>0</v>
      </c>
      <c r="K62" s="668">
        <v>0</v>
      </c>
      <c r="L62" s="668">
        <v>0</v>
      </c>
      <c r="M62" s="668">
        <v>0</v>
      </c>
      <c r="N62" s="668">
        <v>0</v>
      </c>
      <c r="O62" s="668">
        <v>0</v>
      </c>
      <c r="P62" s="668">
        <v>0</v>
      </c>
      <c r="Q62" s="668">
        <v>0</v>
      </c>
      <c r="R62" s="668">
        <v>0</v>
      </c>
      <c r="S62" s="668">
        <v>0</v>
      </c>
      <c r="T62" s="668">
        <v>0</v>
      </c>
      <c r="U62" s="668">
        <v>0</v>
      </c>
      <c r="V62" s="668">
        <v>0</v>
      </c>
      <c r="W62" s="668">
        <v>0</v>
      </c>
      <c r="X62" s="668">
        <v>0</v>
      </c>
      <c r="Y62" s="668">
        <v>0</v>
      </c>
      <c r="Z62" s="668">
        <v>0</v>
      </c>
      <c r="AA62" s="668">
        <v>0</v>
      </c>
      <c r="AB62" s="668">
        <v>0</v>
      </c>
      <c r="AC62" s="668">
        <v>0</v>
      </c>
      <c r="AD62" s="668">
        <v>0</v>
      </c>
      <c r="AE62" s="671">
        <v>0</v>
      </c>
      <c r="AF62" s="672"/>
    </row>
    <row r="63" spans="2:32">
      <c r="C63" s="675"/>
      <c r="D63" s="667">
        <v>63</v>
      </c>
      <c r="E63" s="695"/>
      <c r="F63" s="695"/>
      <c r="G63" s="695"/>
      <c r="H63" s="695"/>
      <c r="I63" s="695"/>
      <c r="J63" s="695"/>
      <c r="K63" s="695"/>
      <c r="L63" s="695"/>
      <c r="M63" s="695"/>
      <c r="N63" s="695"/>
      <c r="O63" s="695"/>
      <c r="P63" s="695"/>
      <c r="Q63" s="695"/>
      <c r="R63" s="695"/>
      <c r="S63" s="695"/>
      <c r="T63" s="695"/>
      <c r="U63" s="695"/>
      <c r="V63" s="695"/>
      <c r="W63" s="695"/>
      <c r="X63" s="695"/>
      <c r="Y63" s="695"/>
      <c r="Z63" s="672"/>
      <c r="AA63" s="672"/>
      <c r="AB63" s="672"/>
      <c r="AC63" s="672"/>
      <c r="AD63" s="672"/>
      <c r="AE63" s="695"/>
      <c r="AF63" s="672"/>
    </row>
    <row r="64" spans="2:32">
      <c r="B64" s="667" t="s">
        <v>331</v>
      </c>
      <c r="C64" s="675"/>
      <c r="D64" s="667">
        <v>64</v>
      </c>
      <c r="E64" s="668">
        <v>0</v>
      </c>
      <c r="F64" s="668">
        <v>0</v>
      </c>
      <c r="G64" s="668">
        <v>0</v>
      </c>
      <c r="H64" s="668">
        <v>0</v>
      </c>
      <c r="I64" s="668">
        <v>0</v>
      </c>
      <c r="J64" s="668">
        <v>0</v>
      </c>
      <c r="K64" s="668">
        <v>0</v>
      </c>
      <c r="L64" s="668">
        <v>0</v>
      </c>
      <c r="M64" s="668">
        <v>0</v>
      </c>
      <c r="N64" s="668">
        <v>0</v>
      </c>
      <c r="O64" s="668">
        <v>0</v>
      </c>
      <c r="P64" s="668">
        <v>0</v>
      </c>
      <c r="Q64" s="668">
        <v>0</v>
      </c>
      <c r="R64" s="668">
        <v>0</v>
      </c>
      <c r="S64" s="668">
        <v>0</v>
      </c>
      <c r="T64" s="668">
        <v>0</v>
      </c>
      <c r="U64" s="668">
        <v>0</v>
      </c>
      <c r="V64" s="668">
        <v>0</v>
      </c>
      <c r="W64" s="668">
        <v>0</v>
      </c>
      <c r="X64" s="668">
        <v>0</v>
      </c>
      <c r="Y64" s="668">
        <v>0</v>
      </c>
      <c r="Z64" s="668">
        <v>0</v>
      </c>
      <c r="AA64" s="668">
        <v>0</v>
      </c>
      <c r="AB64" s="668">
        <v>0</v>
      </c>
      <c r="AC64" s="668">
        <v>0</v>
      </c>
      <c r="AD64" s="668">
        <v>0</v>
      </c>
      <c r="AE64" s="697">
        <v>0</v>
      </c>
      <c r="AF64" s="672"/>
    </row>
    <row r="65" spans="1:32">
      <c r="C65" s="675" t="s">
        <v>425</v>
      </c>
      <c r="D65" s="667">
        <v>65</v>
      </c>
      <c r="E65" s="676">
        <f>SUM(E62:E64)</f>
        <v>0</v>
      </c>
      <c r="F65" s="676">
        <f t="shared" ref="F65:AD65" si="19">SUM(F62:F64)</f>
        <v>0</v>
      </c>
      <c r="G65" s="676">
        <f t="shared" si="19"/>
        <v>0</v>
      </c>
      <c r="H65" s="676">
        <f t="shared" si="19"/>
        <v>0</v>
      </c>
      <c r="I65" s="676">
        <f t="shared" si="19"/>
        <v>0</v>
      </c>
      <c r="J65" s="676">
        <f t="shared" si="19"/>
        <v>0</v>
      </c>
      <c r="K65" s="676">
        <f t="shared" si="19"/>
        <v>0</v>
      </c>
      <c r="L65" s="676">
        <f t="shared" si="19"/>
        <v>0</v>
      </c>
      <c r="M65" s="676">
        <f t="shared" si="19"/>
        <v>0</v>
      </c>
      <c r="N65" s="676">
        <f t="shared" si="19"/>
        <v>0</v>
      </c>
      <c r="O65" s="676">
        <f t="shared" si="19"/>
        <v>0</v>
      </c>
      <c r="P65" s="676">
        <f t="shared" si="19"/>
        <v>0</v>
      </c>
      <c r="Q65" s="676">
        <f t="shared" si="19"/>
        <v>0</v>
      </c>
      <c r="R65" s="676">
        <f t="shared" si="19"/>
        <v>0</v>
      </c>
      <c r="S65" s="676">
        <f t="shared" si="19"/>
        <v>0</v>
      </c>
      <c r="T65" s="676">
        <f t="shared" si="19"/>
        <v>0</v>
      </c>
      <c r="U65" s="676">
        <f t="shared" si="19"/>
        <v>0</v>
      </c>
      <c r="V65" s="676">
        <f t="shared" si="19"/>
        <v>0</v>
      </c>
      <c r="W65" s="676">
        <f t="shared" si="19"/>
        <v>0</v>
      </c>
      <c r="X65" s="676">
        <f t="shared" si="19"/>
        <v>0</v>
      </c>
      <c r="Y65" s="676">
        <f t="shared" si="19"/>
        <v>0</v>
      </c>
      <c r="Z65" s="676">
        <f t="shared" si="19"/>
        <v>0</v>
      </c>
      <c r="AA65" s="676">
        <f t="shared" si="19"/>
        <v>0</v>
      </c>
      <c r="AB65" s="676">
        <f t="shared" si="19"/>
        <v>0</v>
      </c>
      <c r="AC65" s="676">
        <f t="shared" si="19"/>
        <v>0</v>
      </c>
      <c r="AD65" s="676">
        <f t="shared" si="19"/>
        <v>0</v>
      </c>
      <c r="AE65" s="677">
        <f t="shared" ref="AE65" si="20">SUM(AE64)</f>
        <v>0</v>
      </c>
      <c r="AF65" s="680"/>
    </row>
    <row r="66" spans="1:32" ht="15.75" thickBot="1">
      <c r="D66" s="667">
        <v>66</v>
      </c>
      <c r="E66" s="678"/>
      <c r="F66" s="678"/>
      <c r="G66" s="678"/>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2"/>
    </row>
    <row r="67" spans="1:32" ht="15.75" thickBot="1">
      <c r="C67" s="675" t="s">
        <v>357</v>
      </c>
      <c r="D67" s="667">
        <v>67</v>
      </c>
      <c r="E67" s="683">
        <f>SUM(E65,E62,E60,E50:E55,E48)</f>
        <v>0</v>
      </c>
      <c r="F67" s="683">
        <f t="shared" ref="F67:AD67" si="21">SUM(F65,F62,F60,F50:F55,F48)</f>
        <v>55579</v>
      </c>
      <c r="G67" s="683">
        <f t="shared" ref="G67:M67" si="22">SUM(G65,G62,G60,G50:G55,G48)</f>
        <v>0</v>
      </c>
      <c r="H67" s="683">
        <f t="shared" si="22"/>
        <v>1725</v>
      </c>
      <c r="I67" s="683">
        <f t="shared" si="22"/>
        <v>375774</v>
      </c>
      <c r="J67" s="683">
        <f t="shared" si="22"/>
        <v>46314</v>
      </c>
      <c r="K67" s="683">
        <f t="shared" si="22"/>
        <v>0</v>
      </c>
      <c r="L67" s="683">
        <f t="shared" si="22"/>
        <v>35677</v>
      </c>
      <c r="M67" s="683">
        <f t="shared" si="22"/>
        <v>0</v>
      </c>
      <c r="N67" s="683">
        <f t="shared" si="21"/>
        <v>0</v>
      </c>
      <c r="O67" s="683">
        <f>SUM(O65,O62,O60,O50:O55,O48)</f>
        <v>1348973</v>
      </c>
      <c r="P67" s="683">
        <f>SUM(P65,P62,P60,P50:P55,P48)</f>
        <v>0</v>
      </c>
      <c r="Q67" s="683">
        <f>SUM(Q65,Q62,Q60,Q50:Q55,Q48)</f>
        <v>0</v>
      </c>
      <c r="R67" s="683">
        <f>SUM(R65,R62,R60,R50:R55,R48)</f>
        <v>0</v>
      </c>
      <c r="S67" s="683">
        <f>SUM(S65,S62,S60,S50:S55,S48)</f>
        <v>457638</v>
      </c>
      <c r="T67" s="683">
        <f t="shared" si="21"/>
        <v>0</v>
      </c>
      <c r="U67" s="684">
        <f>SUM(U65,U62,U60,U50:U55,U48)</f>
        <v>0</v>
      </c>
      <c r="V67" s="683">
        <f t="shared" si="21"/>
        <v>0</v>
      </c>
      <c r="W67" s="683">
        <f t="shared" si="21"/>
        <v>0</v>
      </c>
      <c r="X67" s="683">
        <f t="shared" si="21"/>
        <v>0</v>
      </c>
      <c r="Y67" s="683">
        <f>SUM(Y65,Y62,Y60,Y50:Y55,Y48)</f>
        <v>0</v>
      </c>
      <c r="Z67" s="683">
        <f t="shared" si="21"/>
        <v>0</v>
      </c>
      <c r="AA67" s="683">
        <f>SUM(AA65,AA62,AA60,AA50:AA55,AA48)</f>
        <v>228527</v>
      </c>
      <c r="AB67" s="683">
        <f t="shared" si="21"/>
        <v>5334</v>
      </c>
      <c r="AC67" s="683">
        <f t="shared" si="21"/>
        <v>4233129</v>
      </c>
      <c r="AD67" s="683">
        <f t="shared" si="21"/>
        <v>0</v>
      </c>
      <c r="AE67" s="684">
        <f>SUM(AE65,AE62,AE60,AE50:AE55,AE48)</f>
        <v>9473857</v>
      </c>
      <c r="AF67" s="680"/>
    </row>
    <row r="68" spans="1:32">
      <c r="C68" s="675"/>
      <c r="D68" s="667">
        <v>68</v>
      </c>
      <c r="E68" s="680"/>
      <c r="F68" s="680"/>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row>
    <row r="69" spans="1:32" ht="15.75">
      <c r="A69" s="666" t="s">
        <v>632</v>
      </c>
      <c r="C69" s="675"/>
      <c r="D69" s="667">
        <v>69</v>
      </c>
      <c r="E69" s="669">
        <v>13249</v>
      </c>
      <c r="F69" s="668">
        <v>0</v>
      </c>
      <c r="G69" s="668">
        <v>0</v>
      </c>
      <c r="H69" s="668">
        <v>0</v>
      </c>
      <c r="I69" s="668">
        <v>0</v>
      </c>
      <c r="J69" s="668">
        <v>0</v>
      </c>
      <c r="K69" s="668">
        <v>0</v>
      </c>
      <c r="L69" s="668">
        <v>0</v>
      </c>
      <c r="M69" s="668">
        <v>0</v>
      </c>
      <c r="N69" s="668">
        <v>0</v>
      </c>
      <c r="O69" s="668">
        <v>0</v>
      </c>
      <c r="P69" s="668">
        <v>0</v>
      </c>
      <c r="Q69" s="668">
        <v>0</v>
      </c>
      <c r="R69" s="668">
        <v>0</v>
      </c>
      <c r="S69" s="668">
        <v>0</v>
      </c>
      <c r="T69" s="668">
        <v>0</v>
      </c>
      <c r="U69" s="668">
        <v>0</v>
      </c>
      <c r="V69" s="668">
        <v>0</v>
      </c>
      <c r="W69" s="668">
        <v>0</v>
      </c>
      <c r="X69" s="668">
        <v>0</v>
      </c>
      <c r="Y69" s="668">
        <v>0</v>
      </c>
      <c r="Z69" s="668">
        <v>0</v>
      </c>
      <c r="AA69" s="668">
        <v>0</v>
      </c>
      <c r="AB69" s="668">
        <v>0</v>
      </c>
      <c r="AC69" s="668">
        <v>0</v>
      </c>
      <c r="AD69" s="668">
        <v>0</v>
      </c>
      <c r="AE69" s="680"/>
      <c r="AF69" s="680"/>
    </row>
    <row r="70" spans="1:32" ht="15.75" thickBot="1">
      <c r="C70" s="675"/>
      <c r="D70" s="667">
        <v>70</v>
      </c>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row>
    <row r="71" spans="1:32" ht="15.75" thickBot="1">
      <c r="C71" s="682" t="s">
        <v>634</v>
      </c>
      <c r="D71" s="667">
        <v>71</v>
      </c>
      <c r="E71" s="698">
        <f>E67+E69</f>
        <v>13249</v>
      </c>
      <c r="F71" s="684">
        <f t="shared" ref="F71:M71" si="23">F67+F69</f>
        <v>55579</v>
      </c>
      <c r="G71" s="698">
        <f t="shared" si="23"/>
        <v>0</v>
      </c>
      <c r="H71" s="698">
        <f t="shared" si="23"/>
        <v>1725</v>
      </c>
      <c r="I71" s="698">
        <f t="shared" si="23"/>
        <v>375774</v>
      </c>
      <c r="J71" s="698">
        <f t="shared" si="23"/>
        <v>46314</v>
      </c>
      <c r="K71" s="698">
        <f t="shared" si="23"/>
        <v>0</v>
      </c>
      <c r="L71" s="698">
        <f t="shared" si="23"/>
        <v>35677</v>
      </c>
      <c r="M71" s="698">
        <f t="shared" si="23"/>
        <v>0</v>
      </c>
      <c r="N71" s="698">
        <f t="shared" ref="N71:AD71" si="24">N67+N69</f>
        <v>0</v>
      </c>
      <c r="O71" s="698">
        <f>O67+O69</f>
        <v>1348973</v>
      </c>
      <c r="P71" s="698">
        <f>P67+P69</f>
        <v>0</v>
      </c>
      <c r="Q71" s="698">
        <f>Q67+Q69</f>
        <v>0</v>
      </c>
      <c r="R71" s="698">
        <f>R67+R69</f>
        <v>0</v>
      </c>
      <c r="S71" s="698">
        <f>S67+S69</f>
        <v>457638</v>
      </c>
      <c r="T71" s="698">
        <f t="shared" si="24"/>
        <v>0</v>
      </c>
      <c r="U71" s="698">
        <f>U67+U69</f>
        <v>0</v>
      </c>
      <c r="V71" s="698">
        <f t="shared" si="24"/>
        <v>0</v>
      </c>
      <c r="W71" s="698">
        <f t="shared" si="24"/>
        <v>0</v>
      </c>
      <c r="X71" s="698">
        <f t="shared" si="24"/>
        <v>0</v>
      </c>
      <c r="Y71" s="698">
        <f>Y67+Y69</f>
        <v>0</v>
      </c>
      <c r="Z71" s="698">
        <f t="shared" si="24"/>
        <v>0</v>
      </c>
      <c r="AA71" s="698">
        <f>AA67+AA69</f>
        <v>228527</v>
      </c>
      <c r="AB71" s="698">
        <f t="shared" si="24"/>
        <v>5334</v>
      </c>
      <c r="AC71" s="698">
        <f t="shared" si="24"/>
        <v>4233129</v>
      </c>
      <c r="AD71" s="698">
        <f t="shared" si="24"/>
        <v>0</v>
      </c>
      <c r="AE71" s="680"/>
      <c r="AF71" s="680"/>
    </row>
    <row r="72" spans="1:32">
      <c r="D72" s="667">
        <v>72</v>
      </c>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2"/>
    </row>
    <row r="73" spans="1:32" ht="15.75">
      <c r="A73" s="666" t="s">
        <v>452</v>
      </c>
      <c r="D73" s="667">
        <v>73</v>
      </c>
      <c r="E73" s="678"/>
      <c r="F73" s="678"/>
      <c r="G73" s="678"/>
      <c r="H73" s="678"/>
      <c r="I73" s="678"/>
      <c r="J73" s="678"/>
      <c r="K73" s="678"/>
      <c r="L73" s="678"/>
      <c r="M73" s="678"/>
      <c r="N73" s="678"/>
      <c r="O73" s="678"/>
      <c r="P73" s="678"/>
      <c r="Q73" s="678"/>
      <c r="R73" s="678"/>
      <c r="S73" s="678"/>
      <c r="T73" s="678"/>
      <c r="U73" s="678"/>
      <c r="V73" s="678"/>
      <c r="W73" s="678"/>
      <c r="X73" s="678"/>
      <c r="Y73" s="678"/>
      <c r="Z73" s="678"/>
      <c r="AA73" s="678"/>
      <c r="AB73" s="678"/>
      <c r="AC73" s="678"/>
      <c r="AD73" s="678"/>
      <c r="AE73" s="678"/>
      <c r="AF73" s="672"/>
    </row>
    <row r="74" spans="1:32">
      <c r="A74" s="675" t="s">
        <v>256</v>
      </c>
      <c r="B74" s="675"/>
      <c r="D74" s="667">
        <v>74</v>
      </c>
      <c r="E74" s="673">
        <v>0</v>
      </c>
      <c r="F74" s="673">
        <v>0</v>
      </c>
      <c r="G74" s="673">
        <v>0</v>
      </c>
      <c r="H74" s="673">
        <v>0</v>
      </c>
      <c r="I74" s="673">
        <v>0</v>
      </c>
      <c r="J74" s="673">
        <v>0</v>
      </c>
      <c r="K74" s="673">
        <v>0</v>
      </c>
      <c r="L74" s="673">
        <v>0</v>
      </c>
      <c r="M74" s="673">
        <v>0</v>
      </c>
      <c r="N74" s="673">
        <v>0</v>
      </c>
      <c r="O74" s="673">
        <v>0</v>
      </c>
      <c r="P74" s="673">
        <v>0</v>
      </c>
      <c r="Q74" s="673">
        <v>0</v>
      </c>
      <c r="R74" s="673">
        <v>0</v>
      </c>
      <c r="S74" s="679">
        <v>2790</v>
      </c>
      <c r="T74" s="673">
        <v>0</v>
      </c>
      <c r="U74" s="673">
        <v>0</v>
      </c>
      <c r="V74" s="673">
        <v>0</v>
      </c>
      <c r="W74" s="673">
        <v>0</v>
      </c>
      <c r="X74" s="673">
        <v>0</v>
      </c>
      <c r="Y74" s="673">
        <v>0</v>
      </c>
      <c r="Z74" s="679">
        <v>47702</v>
      </c>
      <c r="AA74" s="668">
        <v>0</v>
      </c>
      <c r="AB74" s="668">
        <v>0</v>
      </c>
      <c r="AC74" s="668">
        <v>0</v>
      </c>
      <c r="AD74" s="668">
        <v>0</v>
      </c>
      <c r="AE74" s="694"/>
      <c r="AF74" s="672"/>
    </row>
    <row r="75" spans="1:32">
      <c r="A75" s="675"/>
      <c r="B75" s="675"/>
      <c r="D75" s="667">
        <v>75</v>
      </c>
      <c r="E75" s="696"/>
      <c r="F75" s="696"/>
      <c r="G75" s="696"/>
      <c r="H75" s="696"/>
      <c r="I75" s="696"/>
      <c r="J75" s="696"/>
      <c r="K75" s="696"/>
      <c r="L75" s="696"/>
      <c r="M75" s="696"/>
      <c r="N75" s="696"/>
      <c r="O75" s="696"/>
      <c r="P75" s="696"/>
      <c r="Q75" s="696"/>
      <c r="R75" s="696"/>
      <c r="S75" s="672"/>
      <c r="T75" s="696"/>
      <c r="U75" s="696"/>
      <c r="V75" s="696"/>
      <c r="W75" s="696"/>
      <c r="X75" s="696"/>
      <c r="Y75" s="696"/>
      <c r="Z75" s="672"/>
      <c r="AA75" s="672"/>
      <c r="AB75" s="672"/>
      <c r="AC75" s="672"/>
      <c r="AD75" s="672"/>
      <c r="AE75" s="695"/>
      <c r="AF75" s="672"/>
    </row>
    <row r="76" spans="1:32">
      <c r="A76" s="675"/>
      <c r="D76" s="667">
        <v>76</v>
      </c>
      <c r="E76" s="699"/>
      <c r="F76" s="699"/>
      <c r="G76" s="699"/>
      <c r="H76" s="699"/>
      <c r="I76" s="699"/>
      <c r="J76" s="699"/>
      <c r="K76" s="699"/>
      <c r="L76" s="699"/>
      <c r="M76" s="699"/>
      <c r="N76" s="699"/>
      <c r="O76" s="699"/>
      <c r="P76" s="699"/>
      <c r="Q76" s="699"/>
      <c r="R76" s="699"/>
      <c r="S76" s="672"/>
      <c r="T76" s="699"/>
      <c r="U76" s="699"/>
      <c r="V76" s="699"/>
      <c r="W76" s="699"/>
      <c r="X76" s="699"/>
      <c r="Y76" s="699"/>
      <c r="Z76" s="699"/>
      <c r="AA76" s="672"/>
      <c r="AB76" s="672"/>
      <c r="AC76" s="672"/>
      <c r="AD76" s="672"/>
      <c r="AE76" s="700"/>
      <c r="AF76" s="672"/>
    </row>
    <row r="77" spans="1:32">
      <c r="A77" s="675" t="s">
        <v>257</v>
      </c>
      <c r="D77" s="667">
        <v>77</v>
      </c>
      <c r="E77" s="701">
        <v>0</v>
      </c>
      <c r="F77" s="701">
        <v>0</v>
      </c>
      <c r="G77" s="701">
        <v>0</v>
      </c>
      <c r="H77" s="701">
        <v>0</v>
      </c>
      <c r="I77" s="701">
        <v>0</v>
      </c>
      <c r="J77" s="702">
        <v>277957</v>
      </c>
      <c r="K77" s="702">
        <v>936455</v>
      </c>
      <c r="L77" s="701">
        <v>1746169</v>
      </c>
      <c r="M77" s="702">
        <v>559553</v>
      </c>
      <c r="N77" s="701">
        <v>0</v>
      </c>
      <c r="O77" s="701">
        <v>0</v>
      </c>
      <c r="P77" s="701">
        <v>0</v>
      </c>
      <c r="Q77" s="701">
        <v>6</v>
      </c>
      <c r="R77" s="702">
        <v>2518</v>
      </c>
      <c r="S77" s="668">
        <v>0</v>
      </c>
      <c r="T77" s="701">
        <v>0</v>
      </c>
      <c r="U77" s="701">
        <v>0</v>
      </c>
      <c r="V77" s="701">
        <v>0</v>
      </c>
      <c r="W77" s="701">
        <v>0</v>
      </c>
      <c r="X77" s="702">
        <v>2134484</v>
      </c>
      <c r="Y77" s="702">
        <v>452355</v>
      </c>
      <c r="Z77" s="702">
        <v>88150</v>
      </c>
      <c r="AA77" s="668"/>
      <c r="AB77" s="668">
        <v>0</v>
      </c>
      <c r="AC77" s="668">
        <v>0</v>
      </c>
      <c r="AD77" s="668">
        <v>0</v>
      </c>
      <c r="AE77" s="671"/>
      <c r="AF77" s="672"/>
    </row>
    <row r="78" spans="1:32">
      <c r="A78" s="675"/>
      <c r="D78" s="667">
        <v>78</v>
      </c>
      <c r="E78" s="672"/>
      <c r="F78" s="672"/>
      <c r="G78" s="672"/>
      <c r="H78" s="672"/>
      <c r="I78" s="672"/>
      <c r="J78" s="672"/>
      <c r="K78" s="672"/>
      <c r="L78" s="672"/>
      <c r="M78" s="672"/>
      <c r="N78" s="672"/>
      <c r="O78" s="672"/>
      <c r="P78" s="672"/>
      <c r="Q78" s="672"/>
      <c r="R78" s="672"/>
      <c r="S78" s="672"/>
      <c r="T78" s="672"/>
      <c r="U78" s="672"/>
      <c r="V78" s="672"/>
      <c r="W78" s="672"/>
      <c r="X78" s="672"/>
      <c r="Y78" s="672"/>
      <c r="Z78" s="672"/>
      <c r="AA78" s="672"/>
      <c r="AB78" s="672"/>
      <c r="AC78" s="672"/>
      <c r="AD78" s="672"/>
      <c r="AE78" s="700"/>
      <c r="AF78" s="672"/>
    </row>
    <row r="79" spans="1:32">
      <c r="A79" s="675"/>
      <c r="D79" s="667">
        <v>79</v>
      </c>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700"/>
      <c r="AF79" s="672"/>
    </row>
    <row r="80" spans="1:32">
      <c r="A80" s="675"/>
      <c r="D80" s="667">
        <v>80</v>
      </c>
      <c r="E80" s="672"/>
      <c r="F80" s="672"/>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row>
    <row r="81" spans="1:32">
      <c r="A81" s="675" t="s">
        <v>263</v>
      </c>
      <c r="D81" s="667">
        <v>81</v>
      </c>
      <c r="E81" s="669">
        <v>9503286</v>
      </c>
      <c r="F81" s="669">
        <v>213930</v>
      </c>
      <c r="G81" s="669">
        <v>165033</v>
      </c>
      <c r="H81" s="669">
        <v>3813543</v>
      </c>
      <c r="I81" s="669">
        <v>2525340</v>
      </c>
      <c r="J81" s="668">
        <v>0</v>
      </c>
      <c r="K81" s="668">
        <v>0</v>
      </c>
      <c r="L81" s="668">
        <v>0</v>
      </c>
      <c r="M81" s="668">
        <v>0</v>
      </c>
      <c r="N81" s="668">
        <v>0</v>
      </c>
      <c r="O81" s="668">
        <v>5731971</v>
      </c>
      <c r="P81" s="669"/>
      <c r="Q81" s="668">
        <v>0</v>
      </c>
      <c r="R81" s="668">
        <v>0</v>
      </c>
      <c r="S81" s="669">
        <v>138439</v>
      </c>
      <c r="T81" s="668">
        <v>0</v>
      </c>
      <c r="U81" s="668">
        <v>0</v>
      </c>
      <c r="V81" s="668">
        <v>0</v>
      </c>
      <c r="W81" s="668">
        <v>0</v>
      </c>
      <c r="X81" s="668">
        <v>0</v>
      </c>
      <c r="Y81" s="668">
        <v>0</v>
      </c>
      <c r="Z81" s="668">
        <v>0</v>
      </c>
      <c r="AA81" s="668"/>
      <c r="AB81" s="668">
        <v>264</v>
      </c>
      <c r="AC81" s="668">
        <v>0</v>
      </c>
      <c r="AD81" s="668">
        <v>0</v>
      </c>
      <c r="AE81" s="671">
        <v>85622259</v>
      </c>
      <c r="AF81" s="672"/>
    </row>
    <row r="82" spans="1:32">
      <c r="A82" s="675" t="s">
        <v>264</v>
      </c>
      <c r="D82" s="667">
        <v>82</v>
      </c>
      <c r="E82" s="668">
        <v>0</v>
      </c>
      <c r="F82" s="668">
        <v>0</v>
      </c>
      <c r="G82" s="668">
        <v>0</v>
      </c>
      <c r="H82" s="668">
        <v>0</v>
      </c>
      <c r="I82" s="668">
        <v>0</v>
      </c>
      <c r="J82" s="668">
        <v>0</v>
      </c>
      <c r="K82" s="668">
        <v>0</v>
      </c>
      <c r="L82" s="669">
        <v>1192983</v>
      </c>
      <c r="M82" s="669">
        <v>5643119</v>
      </c>
      <c r="N82" s="668">
        <v>0</v>
      </c>
      <c r="O82" s="668">
        <v>0</v>
      </c>
      <c r="P82" s="668">
        <v>0</v>
      </c>
      <c r="Q82" s="668">
        <v>0</v>
      </c>
      <c r="R82" s="668">
        <v>0</v>
      </c>
      <c r="S82" s="668">
        <v>0</v>
      </c>
      <c r="T82" s="668">
        <v>0</v>
      </c>
      <c r="U82" s="669">
        <v>38446</v>
      </c>
      <c r="V82" s="668">
        <v>0</v>
      </c>
      <c r="W82" s="668">
        <v>0</v>
      </c>
      <c r="X82" s="669">
        <v>3633732</v>
      </c>
      <c r="Y82" s="669">
        <v>1805843</v>
      </c>
      <c r="Z82" s="668">
        <v>0</v>
      </c>
      <c r="AA82" s="668">
        <v>0</v>
      </c>
      <c r="AB82" s="668">
        <v>0</v>
      </c>
      <c r="AC82" s="668">
        <v>0</v>
      </c>
      <c r="AD82" s="668">
        <v>0</v>
      </c>
      <c r="AE82" s="703"/>
      <c r="AF82" s="672"/>
    </row>
    <row r="83" spans="1:32">
      <c r="A83" s="675"/>
      <c r="E83" s="692"/>
      <c r="F83" s="692"/>
      <c r="G83" s="692"/>
      <c r="H83" s="692"/>
      <c r="I83" s="692"/>
      <c r="J83" s="692"/>
      <c r="K83" s="692"/>
      <c r="L83" s="692"/>
      <c r="M83" s="692"/>
      <c r="N83" s="692"/>
      <c r="O83" s="692"/>
      <c r="P83" s="692"/>
      <c r="Q83" s="692"/>
      <c r="R83" s="692"/>
      <c r="S83" s="692"/>
      <c r="T83" s="692"/>
      <c r="U83" s="692"/>
      <c r="V83" s="692"/>
      <c r="W83" s="692"/>
      <c r="X83" s="692"/>
      <c r="Y83" s="692"/>
      <c r="Z83" s="692"/>
      <c r="AA83" s="692"/>
      <c r="AB83" s="692"/>
      <c r="AC83" s="692"/>
      <c r="AD83" s="692"/>
      <c r="AE83" s="672"/>
      <c r="AF83" s="672"/>
    </row>
    <row r="84" spans="1:32" ht="15.75" thickBot="1">
      <c r="A84" s="675"/>
      <c r="D84" s="667">
        <v>84</v>
      </c>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row>
    <row r="85" spans="1:32" ht="15.75" thickBot="1">
      <c r="C85" s="675" t="s">
        <v>453</v>
      </c>
      <c r="D85" s="667">
        <v>85</v>
      </c>
      <c r="E85" s="683">
        <f>SUM(E74:E79,E81,E82,E83)</f>
        <v>9503286</v>
      </c>
      <c r="F85" s="683">
        <f t="shared" ref="F85:M85" si="25">SUM(F74:F79,F81,F82,F83)</f>
        <v>213930</v>
      </c>
      <c r="G85" s="683">
        <f t="shared" si="25"/>
        <v>165033</v>
      </c>
      <c r="H85" s="683">
        <f t="shared" si="25"/>
        <v>3813543</v>
      </c>
      <c r="I85" s="683">
        <f t="shared" si="25"/>
        <v>2525340</v>
      </c>
      <c r="J85" s="683">
        <f t="shared" si="25"/>
        <v>277957</v>
      </c>
      <c r="K85" s="683">
        <f t="shared" si="25"/>
        <v>936455</v>
      </c>
      <c r="L85" s="683">
        <f t="shared" si="25"/>
        <v>2939152</v>
      </c>
      <c r="M85" s="683">
        <f t="shared" si="25"/>
        <v>6202672</v>
      </c>
      <c r="N85" s="683">
        <f t="shared" ref="N85:X85" si="26">SUM(N74:N79,N81,N82,N83)</f>
        <v>0</v>
      </c>
      <c r="O85" s="683">
        <f>SUM(O74:O79,O81,O82,O83)</f>
        <v>5731971</v>
      </c>
      <c r="P85" s="683">
        <f>SUM(P74:P79,P81,P82,P83)</f>
        <v>0</v>
      </c>
      <c r="Q85" s="683">
        <f>SUM(Q74:Q79,Q81,Q82,Q83)</f>
        <v>6</v>
      </c>
      <c r="R85" s="683">
        <f>SUM(R74:R79,R81,R82,R83)</f>
        <v>2518</v>
      </c>
      <c r="S85" s="683">
        <f>SUM(S74:S79,S81,S82,S83)</f>
        <v>141229</v>
      </c>
      <c r="T85" s="683">
        <f t="shared" si="26"/>
        <v>0</v>
      </c>
      <c r="U85" s="683">
        <f>SUM(U74:U79,U81,U82,U83)</f>
        <v>38446</v>
      </c>
      <c r="V85" s="683">
        <f t="shared" si="26"/>
        <v>0</v>
      </c>
      <c r="W85" s="683">
        <f t="shared" si="26"/>
        <v>0</v>
      </c>
      <c r="X85" s="683">
        <f t="shared" si="26"/>
        <v>5768216</v>
      </c>
      <c r="Y85" s="683">
        <f>SUM(Y74:Y79,Y81,Y82,Y83)</f>
        <v>2258198</v>
      </c>
      <c r="Z85" s="683">
        <f>SUM(Z74:Z79,Z81,Z82,Z83)</f>
        <v>135852</v>
      </c>
      <c r="AA85" s="683">
        <f t="shared" ref="AA85:AD85" si="27">SUM(AA74:AA79,AA81,AA82,AA83)</f>
        <v>0</v>
      </c>
      <c r="AB85" s="683">
        <f t="shared" si="27"/>
        <v>264</v>
      </c>
      <c r="AC85" s="683">
        <f t="shared" si="27"/>
        <v>0</v>
      </c>
      <c r="AD85" s="683">
        <f t="shared" si="27"/>
        <v>0</v>
      </c>
      <c r="AE85" s="684">
        <f>SUM(AE74:AE79,AE81)</f>
        <v>85622259</v>
      </c>
      <c r="AF85" s="680"/>
    </row>
    <row r="86" spans="1:32" ht="12.75" hidden="1" customHeight="1">
      <c r="A86" s="704"/>
      <c r="B86" s="705"/>
      <c r="C86" s="705"/>
      <c r="D86" s="667">
        <v>86</v>
      </c>
      <c r="E86" s="667"/>
      <c r="F86" s="667"/>
      <c r="I86" s="667"/>
      <c r="J86" s="667"/>
      <c r="K86" s="667"/>
      <c r="L86" s="667"/>
      <c r="M86" s="667"/>
      <c r="N86" s="667"/>
      <c r="O86" s="667"/>
      <c r="P86" s="667"/>
      <c r="Q86" s="667"/>
      <c r="R86" s="667"/>
      <c r="S86" s="667"/>
      <c r="T86" s="667"/>
      <c r="U86" s="667"/>
      <c r="V86" s="667"/>
      <c r="W86" s="667"/>
      <c r="Y86" s="667"/>
    </row>
    <row r="87" spans="1:32" ht="12.75" hidden="1" customHeight="1">
      <c r="A87" s="704"/>
      <c r="B87" s="705"/>
      <c r="C87" s="705"/>
      <c r="D87" s="667">
        <v>87</v>
      </c>
      <c r="E87" s="667"/>
      <c r="F87" s="667"/>
      <c r="I87" s="667"/>
      <c r="J87" s="667"/>
      <c r="K87" s="667"/>
      <c r="L87" s="667"/>
      <c r="M87" s="667"/>
      <c r="N87" s="667"/>
      <c r="O87" s="667"/>
      <c r="P87" s="667"/>
      <c r="Q87" s="667"/>
      <c r="R87" s="667"/>
      <c r="S87" s="667"/>
      <c r="T87" s="667"/>
      <c r="U87" s="667"/>
      <c r="V87" s="667"/>
      <c r="W87" s="667"/>
      <c r="Y87" s="667"/>
    </row>
    <row r="88" spans="1:32" ht="12.75" hidden="1" customHeight="1">
      <c r="A88" s="704"/>
      <c r="B88" s="705"/>
      <c r="C88" s="705"/>
      <c r="D88" s="667">
        <v>88</v>
      </c>
      <c r="E88" s="667"/>
      <c r="F88" s="667"/>
      <c r="I88" s="667"/>
      <c r="J88" s="667"/>
      <c r="K88" s="667"/>
      <c r="L88" s="667"/>
      <c r="M88" s="667"/>
      <c r="N88" s="667"/>
      <c r="O88" s="667"/>
      <c r="P88" s="667"/>
      <c r="Q88" s="667"/>
      <c r="R88" s="667"/>
      <c r="S88" s="667"/>
      <c r="T88" s="667"/>
      <c r="U88" s="667"/>
      <c r="V88" s="667"/>
      <c r="W88" s="667"/>
      <c r="Y88" s="667"/>
    </row>
    <row r="89" spans="1:32" ht="12.75" hidden="1" customHeight="1">
      <c r="A89" s="706"/>
      <c r="D89" s="667">
        <v>89</v>
      </c>
      <c r="E89" s="667"/>
      <c r="F89" s="667"/>
      <c r="I89" s="667"/>
      <c r="J89" s="667"/>
      <c r="K89" s="667"/>
      <c r="L89" s="667"/>
      <c r="M89" s="667"/>
      <c r="N89" s="667"/>
      <c r="O89" s="667"/>
      <c r="P89" s="667"/>
      <c r="Q89" s="667"/>
      <c r="R89" s="667"/>
      <c r="S89" s="667"/>
      <c r="T89" s="667"/>
      <c r="U89" s="667"/>
      <c r="V89" s="667"/>
      <c r="W89" s="667"/>
      <c r="Y89" s="667"/>
    </row>
    <row r="90" spans="1:32" ht="12.75" hidden="1" customHeight="1">
      <c r="A90" s="706" t="s">
        <v>458</v>
      </c>
      <c r="D90" s="667">
        <v>90</v>
      </c>
      <c r="E90" s="667"/>
      <c r="F90" s="667"/>
      <c r="I90" s="667"/>
      <c r="J90" s="667"/>
      <c r="K90" s="667"/>
      <c r="L90" s="667"/>
      <c r="M90" s="667"/>
      <c r="N90" s="667"/>
      <c r="O90" s="667"/>
      <c r="P90" s="667"/>
      <c r="Q90" s="667"/>
      <c r="R90" s="667"/>
      <c r="S90" s="667"/>
      <c r="T90" s="667"/>
      <c r="U90" s="667"/>
      <c r="V90" s="667"/>
      <c r="W90" s="667"/>
      <c r="Y90" s="667"/>
    </row>
    <row r="91" spans="1:32" ht="12.75" hidden="1" customHeight="1">
      <c r="A91" s="706"/>
      <c r="D91" s="667">
        <v>91</v>
      </c>
      <c r="E91" s="667"/>
      <c r="F91" s="667"/>
      <c r="I91" s="667"/>
      <c r="J91" s="667"/>
      <c r="K91" s="667"/>
      <c r="L91" s="667"/>
      <c r="M91" s="667"/>
      <c r="N91" s="667"/>
      <c r="O91" s="667"/>
      <c r="P91" s="667"/>
      <c r="Q91" s="667"/>
      <c r="R91" s="667"/>
      <c r="S91" s="667"/>
      <c r="T91" s="667"/>
      <c r="U91" s="667"/>
      <c r="V91" s="667"/>
      <c r="W91" s="667"/>
      <c r="Y91" s="667"/>
    </row>
    <row r="92" spans="1:32" ht="66" customHeight="1" thickBot="1">
      <c r="A92" s="707"/>
      <c r="D92" s="667">
        <v>92</v>
      </c>
      <c r="E92" s="663" t="s">
        <v>498</v>
      </c>
      <c r="F92" s="663" t="s">
        <v>499</v>
      </c>
      <c r="G92" s="663" t="s">
        <v>2560</v>
      </c>
      <c r="H92" s="663" t="s">
        <v>109</v>
      </c>
      <c r="I92" s="663" t="s">
        <v>59</v>
      </c>
      <c r="J92" s="663" t="s">
        <v>497</v>
      </c>
      <c r="K92" s="663" t="s">
        <v>2556</v>
      </c>
      <c r="L92" s="663" t="s">
        <v>267</v>
      </c>
      <c r="M92" s="663" t="s">
        <v>268</v>
      </c>
      <c r="N92" s="663" t="s">
        <v>120</v>
      </c>
      <c r="O92" s="663" t="s">
        <v>521</v>
      </c>
      <c r="P92" s="663" t="s">
        <v>494</v>
      </c>
      <c r="Q92" s="663" t="s">
        <v>493</v>
      </c>
      <c r="R92" s="663" t="s">
        <v>495</v>
      </c>
      <c r="S92" s="663" t="s">
        <v>254</v>
      </c>
      <c r="T92" s="663" t="s">
        <v>107</v>
      </c>
      <c r="U92" s="663" t="s">
        <v>496</v>
      </c>
      <c r="V92" s="663" t="s">
        <v>523</v>
      </c>
      <c r="W92" s="663" t="s">
        <v>492</v>
      </c>
      <c r="X92" s="663" t="s">
        <v>753</v>
      </c>
      <c r="Y92" s="663" t="s">
        <v>319</v>
      </c>
      <c r="Z92" s="663" t="s">
        <v>320</v>
      </c>
      <c r="AA92" s="663" t="s">
        <v>2887</v>
      </c>
      <c r="AB92" s="663" t="s">
        <v>2886</v>
      </c>
      <c r="AC92" s="663" t="s">
        <v>3099</v>
      </c>
      <c r="AD92" s="663" t="s">
        <v>2888</v>
      </c>
      <c r="AE92" s="687" t="s">
        <v>423</v>
      </c>
      <c r="AF92" s="688"/>
    </row>
    <row r="93" spans="1:32" ht="15.75">
      <c r="A93" s="706" t="s">
        <v>29</v>
      </c>
      <c r="D93" s="667">
        <v>93</v>
      </c>
      <c r="E93" s="667"/>
      <c r="F93" s="667"/>
      <c r="I93" s="667"/>
      <c r="J93" s="667"/>
      <c r="K93" s="667"/>
      <c r="L93" s="667"/>
      <c r="M93" s="667"/>
      <c r="N93" s="667"/>
      <c r="O93" s="667"/>
      <c r="P93" s="667"/>
      <c r="Q93" s="667"/>
      <c r="R93" s="667"/>
      <c r="S93" s="667"/>
      <c r="T93" s="667"/>
      <c r="U93" s="667"/>
      <c r="V93" s="667"/>
      <c r="W93" s="667"/>
      <c r="Y93" s="667"/>
    </row>
    <row r="94" spans="1:32">
      <c r="B94" s="682" t="s">
        <v>426</v>
      </c>
      <c r="D94" s="667">
        <v>94</v>
      </c>
      <c r="E94" s="668">
        <v>0</v>
      </c>
      <c r="F94" s="669">
        <v>0</v>
      </c>
      <c r="G94" s="669">
        <v>8625</v>
      </c>
      <c r="H94" s="669">
        <v>811370</v>
      </c>
      <c r="I94" s="759">
        <v>117335</v>
      </c>
      <c r="J94" s="668">
        <v>0</v>
      </c>
      <c r="K94" s="668">
        <v>0</v>
      </c>
      <c r="L94" s="668">
        <v>0</v>
      </c>
      <c r="M94" s="668">
        <v>0</v>
      </c>
      <c r="N94" s="668">
        <v>0</v>
      </c>
      <c r="O94" s="668">
        <v>0</v>
      </c>
      <c r="P94" s="668">
        <v>0</v>
      </c>
      <c r="Q94" s="668">
        <v>0</v>
      </c>
      <c r="R94" s="668">
        <v>0</v>
      </c>
      <c r="S94" s="669">
        <v>5186351</v>
      </c>
      <c r="T94" s="668">
        <v>0</v>
      </c>
      <c r="U94" s="668">
        <v>0</v>
      </c>
      <c r="V94" s="668">
        <v>0</v>
      </c>
      <c r="W94" s="668">
        <v>0</v>
      </c>
      <c r="X94" s="668">
        <v>0</v>
      </c>
      <c r="Y94" s="668">
        <v>0</v>
      </c>
      <c r="Z94" s="668">
        <v>0</v>
      </c>
      <c r="AA94" s="668"/>
      <c r="AB94" s="669">
        <v>57195</v>
      </c>
      <c r="AC94" s="668">
        <v>0</v>
      </c>
      <c r="AD94" s="668">
        <v>0</v>
      </c>
      <c r="AE94" s="671"/>
      <c r="AF94" s="672"/>
    </row>
    <row r="95" spans="1:32">
      <c r="B95" s="682" t="s">
        <v>427</v>
      </c>
      <c r="D95" s="667">
        <v>95</v>
      </c>
      <c r="E95" s="668">
        <v>0</v>
      </c>
      <c r="F95" s="669">
        <v>0</v>
      </c>
      <c r="G95" s="669">
        <v>0</v>
      </c>
      <c r="H95" s="669">
        <v>0</v>
      </c>
      <c r="I95" s="669">
        <v>0</v>
      </c>
      <c r="J95" s="668">
        <v>0</v>
      </c>
      <c r="K95" s="668">
        <v>0</v>
      </c>
      <c r="L95" s="669">
        <v>0</v>
      </c>
      <c r="M95" s="668">
        <v>0</v>
      </c>
      <c r="N95" s="668">
        <v>0</v>
      </c>
      <c r="O95" s="668">
        <v>0</v>
      </c>
      <c r="P95" s="668">
        <v>0</v>
      </c>
      <c r="Q95" s="668">
        <v>0</v>
      </c>
      <c r="R95" s="668">
        <v>0</v>
      </c>
      <c r="S95" s="668">
        <v>0</v>
      </c>
      <c r="T95" s="668">
        <v>0</v>
      </c>
      <c r="U95" s="668">
        <v>0</v>
      </c>
      <c r="V95" s="668">
        <v>0</v>
      </c>
      <c r="W95" s="668">
        <v>0</v>
      </c>
      <c r="X95" s="668">
        <v>0</v>
      </c>
      <c r="Y95" s="668">
        <v>0</v>
      </c>
      <c r="Z95" s="668">
        <v>0</v>
      </c>
      <c r="AA95" s="668">
        <v>0</v>
      </c>
      <c r="AB95" s="668">
        <v>0</v>
      </c>
      <c r="AC95" s="668">
        <v>0</v>
      </c>
      <c r="AD95" s="668">
        <v>0</v>
      </c>
      <c r="AE95" s="671"/>
      <c r="AF95" s="672"/>
    </row>
    <row r="96" spans="1:32">
      <c r="B96" s="682" t="s">
        <v>442</v>
      </c>
      <c r="D96" s="667">
        <v>96</v>
      </c>
      <c r="E96" s="669">
        <v>-195856</v>
      </c>
      <c r="F96" s="669">
        <v>15</v>
      </c>
      <c r="G96" s="669">
        <v>5569</v>
      </c>
      <c r="H96" s="669">
        <v>129759</v>
      </c>
      <c r="I96" s="669">
        <v>106412</v>
      </c>
      <c r="J96" s="668">
        <v>2890</v>
      </c>
      <c r="K96" s="669">
        <v>27945</v>
      </c>
      <c r="L96" s="669">
        <v>191648</v>
      </c>
      <c r="M96" s="669">
        <v>620479</v>
      </c>
      <c r="N96" s="668">
        <v>0</v>
      </c>
      <c r="O96" s="668">
        <v>92279</v>
      </c>
      <c r="P96" s="668">
        <v>0</v>
      </c>
      <c r="Q96" s="668">
        <v>0</v>
      </c>
      <c r="R96" s="668">
        <v>0</v>
      </c>
      <c r="S96" s="668">
        <v>0</v>
      </c>
      <c r="T96" s="668">
        <v>0</v>
      </c>
      <c r="U96" s="669">
        <v>0</v>
      </c>
      <c r="V96" s="668">
        <v>0</v>
      </c>
      <c r="W96" s="668">
        <v>0</v>
      </c>
      <c r="X96" s="669">
        <v>477536</v>
      </c>
      <c r="Y96" s="668">
        <v>0</v>
      </c>
      <c r="Z96" s="669">
        <v>4371</v>
      </c>
      <c r="AA96" s="668">
        <v>0</v>
      </c>
      <c r="AB96" s="668">
        <v>0</v>
      </c>
      <c r="AC96" s="668">
        <v>0</v>
      </c>
      <c r="AD96" s="668">
        <v>0</v>
      </c>
      <c r="AE96" s="671">
        <v>4816967</v>
      </c>
      <c r="AF96" s="672"/>
    </row>
    <row r="97" spans="1:32">
      <c r="B97" s="708"/>
      <c r="D97" s="667">
        <v>97</v>
      </c>
      <c r="E97" s="678"/>
      <c r="F97" s="678"/>
      <c r="G97" s="678"/>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2"/>
    </row>
    <row r="98" spans="1:32">
      <c r="B98" s="708" t="s">
        <v>429</v>
      </c>
      <c r="D98" s="667">
        <v>98</v>
      </c>
      <c r="E98" s="669">
        <v>162470</v>
      </c>
      <c r="F98" s="669">
        <v>92175</v>
      </c>
      <c r="G98" s="668">
        <v>0</v>
      </c>
      <c r="H98" s="668">
        <v>0</v>
      </c>
      <c r="I98" s="668">
        <v>0</v>
      </c>
      <c r="J98" s="668">
        <v>0</v>
      </c>
      <c r="K98" s="668">
        <v>0</v>
      </c>
      <c r="L98" s="668">
        <v>0</v>
      </c>
      <c r="M98" s="668">
        <v>0</v>
      </c>
      <c r="N98" s="668">
        <v>0</v>
      </c>
      <c r="O98" s="668">
        <v>0</v>
      </c>
      <c r="P98" s="668">
        <v>0</v>
      </c>
      <c r="Q98" s="668">
        <v>0</v>
      </c>
      <c r="R98" s="668">
        <v>0</v>
      </c>
      <c r="S98" s="668">
        <v>0</v>
      </c>
      <c r="T98" s="668">
        <v>0</v>
      </c>
      <c r="U98" s="668">
        <v>0</v>
      </c>
      <c r="V98" s="668">
        <v>0</v>
      </c>
      <c r="W98" s="668">
        <v>0</v>
      </c>
      <c r="X98" s="668">
        <v>0</v>
      </c>
      <c r="Y98" s="668">
        <v>0</v>
      </c>
      <c r="Z98" s="668">
        <v>0</v>
      </c>
      <c r="AA98" s="668">
        <v>0</v>
      </c>
      <c r="AB98" s="668">
        <v>0</v>
      </c>
      <c r="AC98" s="668">
        <v>0</v>
      </c>
      <c r="AD98" s="668">
        <v>0</v>
      </c>
      <c r="AE98" s="671"/>
      <c r="AF98" s="672"/>
    </row>
    <row r="99" spans="1:32">
      <c r="B99" s="708" t="s">
        <v>428</v>
      </c>
      <c r="D99" s="667">
        <v>99</v>
      </c>
      <c r="E99" s="668">
        <v>0</v>
      </c>
      <c r="F99" s="668">
        <v>0</v>
      </c>
      <c r="G99" s="668">
        <v>0</v>
      </c>
      <c r="H99" s="668">
        <v>0</v>
      </c>
      <c r="I99" s="668">
        <v>0</v>
      </c>
      <c r="J99" s="668">
        <v>0</v>
      </c>
      <c r="K99" s="668">
        <v>0</v>
      </c>
      <c r="L99" s="668">
        <v>0</v>
      </c>
      <c r="M99" s="668">
        <v>0</v>
      </c>
      <c r="N99" s="668">
        <v>0</v>
      </c>
      <c r="O99" s="668">
        <v>0</v>
      </c>
      <c r="P99" s="668">
        <v>0</v>
      </c>
      <c r="Q99" s="668">
        <v>0</v>
      </c>
      <c r="R99" s="668">
        <v>0</v>
      </c>
      <c r="S99" s="668">
        <v>0</v>
      </c>
      <c r="T99" s="668">
        <v>0</v>
      </c>
      <c r="U99" s="668">
        <v>0</v>
      </c>
      <c r="V99" s="668">
        <v>0</v>
      </c>
      <c r="W99" s="668">
        <v>0</v>
      </c>
      <c r="X99" s="668">
        <v>0</v>
      </c>
      <c r="Y99" s="668">
        <v>0</v>
      </c>
      <c r="Z99" s="668">
        <v>0</v>
      </c>
      <c r="AA99" s="668">
        <v>0</v>
      </c>
      <c r="AB99" s="668">
        <v>0</v>
      </c>
      <c r="AC99" s="668">
        <v>0</v>
      </c>
      <c r="AD99" s="668">
        <v>0</v>
      </c>
      <c r="AE99" s="671"/>
      <c r="AF99" s="672"/>
    </row>
    <row r="100" spans="1:32">
      <c r="B100" s="708" t="s">
        <v>430</v>
      </c>
      <c r="D100" s="667">
        <v>100</v>
      </c>
      <c r="E100" s="668">
        <v>0</v>
      </c>
      <c r="F100" s="668">
        <v>0</v>
      </c>
      <c r="G100" s="668">
        <v>0</v>
      </c>
      <c r="H100" s="668">
        <v>0</v>
      </c>
      <c r="I100" s="668">
        <v>0</v>
      </c>
      <c r="J100" s="668">
        <v>0</v>
      </c>
      <c r="K100" s="668">
        <v>0</v>
      </c>
      <c r="L100" s="668">
        <v>0</v>
      </c>
      <c r="M100" s="668">
        <v>0</v>
      </c>
      <c r="N100" s="668">
        <v>0</v>
      </c>
      <c r="O100" s="668">
        <v>0</v>
      </c>
      <c r="P100" s="668">
        <v>0</v>
      </c>
      <c r="Q100" s="668">
        <v>0</v>
      </c>
      <c r="R100" s="668">
        <v>0</v>
      </c>
      <c r="S100" s="668">
        <v>0</v>
      </c>
      <c r="T100" s="668">
        <v>0</v>
      </c>
      <c r="U100" s="668">
        <v>0</v>
      </c>
      <c r="V100" s="668">
        <v>0</v>
      </c>
      <c r="W100" s="668">
        <v>0</v>
      </c>
      <c r="X100" s="668">
        <v>0</v>
      </c>
      <c r="Y100" s="668">
        <v>0</v>
      </c>
      <c r="Z100" s="668">
        <v>0</v>
      </c>
      <c r="AA100" s="668">
        <v>0</v>
      </c>
      <c r="AB100" s="668">
        <v>0</v>
      </c>
      <c r="AC100" s="668">
        <v>0</v>
      </c>
      <c r="AD100" s="668">
        <v>0</v>
      </c>
      <c r="AE100" s="671"/>
      <c r="AF100" s="672"/>
    </row>
    <row r="101" spans="1:32">
      <c r="B101" s="708" t="s">
        <v>431</v>
      </c>
      <c r="D101" s="667">
        <v>101</v>
      </c>
      <c r="E101" s="668">
        <v>0</v>
      </c>
      <c r="F101" s="668">
        <v>0</v>
      </c>
      <c r="G101" s="668">
        <v>0</v>
      </c>
      <c r="H101" s="668">
        <v>0</v>
      </c>
      <c r="I101" s="668">
        <v>0</v>
      </c>
      <c r="J101" s="669">
        <v>0</v>
      </c>
      <c r="K101" s="668">
        <v>0</v>
      </c>
      <c r="L101" s="669">
        <v>705210</v>
      </c>
      <c r="M101" s="669">
        <v>19217</v>
      </c>
      <c r="N101" s="668">
        <v>0</v>
      </c>
      <c r="O101" s="668">
        <v>0</v>
      </c>
      <c r="P101" s="668">
        <v>0</v>
      </c>
      <c r="Q101" s="668">
        <v>0</v>
      </c>
      <c r="R101" s="669">
        <v>1767</v>
      </c>
      <c r="S101" s="669">
        <v>3300</v>
      </c>
      <c r="T101" s="668">
        <v>0</v>
      </c>
      <c r="U101" s="668">
        <v>0</v>
      </c>
      <c r="V101" s="668">
        <v>0</v>
      </c>
      <c r="W101" s="668">
        <v>0</v>
      </c>
      <c r="X101" s="669">
        <v>65842</v>
      </c>
      <c r="Y101" s="669">
        <v>302701</v>
      </c>
      <c r="Z101" s="668">
        <v>0</v>
      </c>
      <c r="AA101" s="668">
        <v>0</v>
      </c>
      <c r="AB101" s="668">
        <v>0</v>
      </c>
      <c r="AC101" s="668">
        <v>0</v>
      </c>
      <c r="AD101" s="668">
        <v>0</v>
      </c>
      <c r="AE101" s="671"/>
      <c r="AF101" s="672"/>
    </row>
    <row r="102" spans="1:32">
      <c r="B102" s="708" t="s">
        <v>432</v>
      </c>
      <c r="D102" s="667">
        <v>102</v>
      </c>
      <c r="E102" s="668">
        <v>0</v>
      </c>
      <c r="F102" s="668">
        <v>0</v>
      </c>
      <c r="G102" s="668">
        <v>0</v>
      </c>
      <c r="H102" s="668">
        <v>0</v>
      </c>
      <c r="I102" s="668">
        <v>0</v>
      </c>
      <c r="J102" s="668">
        <v>0</v>
      </c>
      <c r="K102" s="668">
        <v>0</v>
      </c>
      <c r="L102" s="669">
        <v>0</v>
      </c>
      <c r="M102" s="668">
        <v>0</v>
      </c>
      <c r="N102" s="668">
        <v>0</v>
      </c>
      <c r="O102" s="668">
        <v>0</v>
      </c>
      <c r="P102" s="668">
        <v>0</v>
      </c>
      <c r="Q102" s="668">
        <v>0</v>
      </c>
      <c r="R102" s="668">
        <v>0</v>
      </c>
      <c r="S102" s="669">
        <v>0</v>
      </c>
      <c r="T102" s="668">
        <v>0</v>
      </c>
      <c r="U102" s="668">
        <v>0</v>
      </c>
      <c r="V102" s="668">
        <v>0</v>
      </c>
      <c r="W102" s="668">
        <v>0</v>
      </c>
      <c r="X102" s="668">
        <v>0</v>
      </c>
      <c r="Y102" s="669">
        <v>0</v>
      </c>
      <c r="Z102" s="668">
        <v>0</v>
      </c>
      <c r="AA102" s="668">
        <v>0</v>
      </c>
      <c r="AB102" s="668">
        <v>0</v>
      </c>
      <c r="AC102" s="668">
        <v>0</v>
      </c>
      <c r="AD102" s="668">
        <v>0</v>
      </c>
      <c r="AE102" s="671"/>
      <c r="AF102" s="672"/>
    </row>
    <row r="103" spans="1:32">
      <c r="B103" s="708" t="s">
        <v>358</v>
      </c>
      <c r="D103" s="667">
        <v>103</v>
      </c>
      <c r="E103" s="669">
        <v>3436</v>
      </c>
      <c r="F103" s="668">
        <v>0</v>
      </c>
      <c r="G103" s="668">
        <v>0</v>
      </c>
      <c r="H103" s="668">
        <v>0</v>
      </c>
      <c r="I103" s="668">
        <v>0</v>
      </c>
      <c r="J103" s="668">
        <v>0</v>
      </c>
      <c r="K103" s="668">
        <v>0</v>
      </c>
      <c r="L103" s="669">
        <v>48396</v>
      </c>
      <c r="M103" s="668">
        <v>0</v>
      </c>
      <c r="N103" s="668">
        <v>0</v>
      </c>
      <c r="O103" s="668">
        <v>3593107</v>
      </c>
      <c r="P103" s="669"/>
      <c r="Q103" s="668">
        <v>0</v>
      </c>
      <c r="R103" s="668">
        <v>0</v>
      </c>
      <c r="S103" s="669">
        <v>264009</v>
      </c>
      <c r="T103" s="668">
        <v>0</v>
      </c>
      <c r="U103" s="668">
        <v>0</v>
      </c>
      <c r="V103" s="668">
        <v>0</v>
      </c>
      <c r="W103" s="668">
        <v>0</v>
      </c>
      <c r="X103" s="668">
        <v>0</v>
      </c>
      <c r="Y103" s="669">
        <v>82595</v>
      </c>
      <c r="Z103" s="668">
        <v>0</v>
      </c>
      <c r="AA103" s="668">
        <v>0</v>
      </c>
      <c r="AB103" s="668">
        <v>0</v>
      </c>
      <c r="AC103" s="669">
        <v>10000</v>
      </c>
      <c r="AD103" s="668">
        <v>0</v>
      </c>
      <c r="AE103" s="671">
        <v>0</v>
      </c>
      <c r="AF103" s="672"/>
    </row>
    <row r="104" spans="1:32">
      <c r="B104" s="708"/>
      <c r="C104" s="675" t="s">
        <v>359</v>
      </c>
      <c r="D104" s="667">
        <v>104</v>
      </c>
      <c r="E104" s="676">
        <f t="shared" ref="E104:M104" si="28">SUM(E98:E103)</f>
        <v>165906</v>
      </c>
      <c r="F104" s="676">
        <f t="shared" si="28"/>
        <v>92175</v>
      </c>
      <c r="G104" s="676">
        <f t="shared" si="28"/>
        <v>0</v>
      </c>
      <c r="H104" s="676">
        <f t="shared" si="28"/>
        <v>0</v>
      </c>
      <c r="I104" s="676">
        <f t="shared" si="28"/>
        <v>0</v>
      </c>
      <c r="J104" s="676">
        <f t="shared" si="28"/>
        <v>0</v>
      </c>
      <c r="K104" s="676">
        <f t="shared" si="28"/>
        <v>0</v>
      </c>
      <c r="L104" s="676">
        <f t="shared" si="28"/>
        <v>753606</v>
      </c>
      <c r="M104" s="676">
        <f t="shared" si="28"/>
        <v>19217</v>
      </c>
      <c r="N104" s="676">
        <f t="shared" ref="N104:AE104" si="29">SUM(N98:N103)</f>
        <v>0</v>
      </c>
      <c r="O104" s="676">
        <f>SUM(O98:O103)</f>
        <v>3593107</v>
      </c>
      <c r="P104" s="676">
        <f>SUM(P98:P103)</f>
        <v>0</v>
      </c>
      <c r="Q104" s="676">
        <f>SUM(Q98:Q103)</f>
        <v>0</v>
      </c>
      <c r="R104" s="676">
        <f>SUM(R98:R103)</f>
        <v>1767</v>
      </c>
      <c r="S104" s="676">
        <f>SUM(S98:S103)</f>
        <v>267309</v>
      </c>
      <c r="T104" s="676">
        <f t="shared" si="29"/>
        <v>0</v>
      </c>
      <c r="U104" s="677">
        <f>SUM(U98:U103)</f>
        <v>0</v>
      </c>
      <c r="V104" s="676">
        <f t="shared" si="29"/>
        <v>0</v>
      </c>
      <c r="W104" s="676">
        <f t="shared" si="29"/>
        <v>0</v>
      </c>
      <c r="X104" s="676">
        <f t="shared" si="29"/>
        <v>65842</v>
      </c>
      <c r="Y104" s="676">
        <f>SUM(Y98:Y103)</f>
        <v>385296</v>
      </c>
      <c r="Z104" s="676">
        <f>SUM(Z98:Z103)</f>
        <v>0</v>
      </c>
      <c r="AA104" s="676">
        <f t="shared" ref="AA104:AD104" si="30">SUM(AA98:AA103)</f>
        <v>0</v>
      </c>
      <c r="AB104" s="676">
        <f t="shared" si="30"/>
        <v>0</v>
      </c>
      <c r="AC104" s="676">
        <f t="shared" si="30"/>
        <v>10000</v>
      </c>
      <c r="AD104" s="676">
        <f t="shared" si="30"/>
        <v>0</v>
      </c>
      <c r="AE104" s="677">
        <f t="shared" si="29"/>
        <v>0</v>
      </c>
      <c r="AF104" s="680"/>
    </row>
    <row r="105" spans="1:32" ht="15.75" thickBot="1">
      <c r="B105" s="708"/>
      <c r="D105" s="667">
        <v>105</v>
      </c>
      <c r="E105" s="678"/>
      <c r="F105" s="678"/>
      <c r="G105" s="678"/>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2"/>
    </row>
    <row r="106" spans="1:32" ht="15.75" thickBot="1">
      <c r="C106" s="675" t="s">
        <v>445</v>
      </c>
      <c r="D106" s="667">
        <v>106</v>
      </c>
      <c r="E106" s="683">
        <f t="shared" ref="E106:M106" si="31">SUM(E104,E94:E96)</f>
        <v>-29950</v>
      </c>
      <c r="F106" s="683">
        <f t="shared" si="31"/>
        <v>92190</v>
      </c>
      <c r="G106" s="683">
        <f t="shared" si="31"/>
        <v>14194</v>
      </c>
      <c r="H106" s="683">
        <f t="shared" si="31"/>
        <v>941129</v>
      </c>
      <c r="I106" s="683">
        <f t="shared" si="31"/>
        <v>223747</v>
      </c>
      <c r="J106" s="683">
        <f t="shared" si="31"/>
        <v>2890</v>
      </c>
      <c r="K106" s="683">
        <f t="shared" si="31"/>
        <v>27945</v>
      </c>
      <c r="L106" s="683">
        <f t="shared" si="31"/>
        <v>945254</v>
      </c>
      <c r="M106" s="683">
        <f t="shared" si="31"/>
        <v>639696</v>
      </c>
      <c r="N106" s="683">
        <f t="shared" ref="N106:AE106" si="32">SUM(N104,N94:N96)</f>
        <v>0</v>
      </c>
      <c r="O106" s="683">
        <f>SUM(O104,O94:O96)</f>
        <v>3685386</v>
      </c>
      <c r="P106" s="683">
        <f>SUM(P104,P94:P96)</f>
        <v>0</v>
      </c>
      <c r="Q106" s="683">
        <f>SUM(Q104,Q94:Q96)</f>
        <v>0</v>
      </c>
      <c r="R106" s="683">
        <f>SUM(R104,R94:R96)</f>
        <v>1767</v>
      </c>
      <c r="S106" s="683">
        <f>SUM(S104,S94:S96)</f>
        <v>5453660</v>
      </c>
      <c r="T106" s="683">
        <f t="shared" si="32"/>
        <v>0</v>
      </c>
      <c r="U106" s="684">
        <f>SUM(U104,U94:U96)</f>
        <v>0</v>
      </c>
      <c r="V106" s="683">
        <f t="shared" si="32"/>
        <v>0</v>
      </c>
      <c r="W106" s="683">
        <f t="shared" si="32"/>
        <v>0</v>
      </c>
      <c r="X106" s="683">
        <f t="shared" si="32"/>
        <v>543378</v>
      </c>
      <c r="Y106" s="683">
        <f>SUM(Y104,Y94:Y96)</f>
        <v>385296</v>
      </c>
      <c r="Z106" s="683">
        <f>SUM(Z104,Z94:Z96)</f>
        <v>4371</v>
      </c>
      <c r="AA106" s="683">
        <f t="shared" ref="AA106:AD106" si="33">SUM(AA104,AA94:AA96)</f>
        <v>0</v>
      </c>
      <c r="AB106" s="683">
        <f t="shared" si="33"/>
        <v>57195</v>
      </c>
      <c r="AC106" s="683">
        <f t="shared" si="33"/>
        <v>10000</v>
      </c>
      <c r="AD106" s="683">
        <f t="shared" si="33"/>
        <v>0</v>
      </c>
      <c r="AE106" s="684">
        <f t="shared" si="32"/>
        <v>4816967</v>
      </c>
      <c r="AF106" s="680"/>
    </row>
    <row r="107" spans="1:32">
      <c r="D107" s="667">
        <v>107</v>
      </c>
      <c r="E107" s="678"/>
      <c r="F107" s="678"/>
      <c r="G107" s="678"/>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78"/>
      <c r="AD107" s="678"/>
      <c r="AE107" s="678"/>
      <c r="AF107" s="672"/>
    </row>
    <row r="108" spans="1:32" ht="15.75">
      <c r="A108" s="706" t="s">
        <v>30</v>
      </c>
      <c r="D108" s="667">
        <v>108</v>
      </c>
      <c r="E108" s="678"/>
      <c r="F108" s="678"/>
      <c r="G108" s="678"/>
      <c r="H108" s="678"/>
      <c r="I108" s="678"/>
      <c r="J108" s="678"/>
      <c r="K108" s="678"/>
      <c r="L108" s="678"/>
      <c r="M108" s="678"/>
      <c r="N108" s="678"/>
      <c r="O108" s="678"/>
      <c r="P108" s="678"/>
      <c r="Q108" s="678"/>
      <c r="R108" s="678"/>
      <c r="S108" s="678"/>
      <c r="T108" s="678"/>
      <c r="U108" s="678"/>
      <c r="V108" s="678"/>
      <c r="W108" s="678"/>
      <c r="X108" s="678"/>
      <c r="Y108" s="678"/>
      <c r="Z108" s="678"/>
      <c r="AA108" s="678"/>
      <c r="AB108" s="678"/>
      <c r="AC108" s="678"/>
      <c r="AD108" s="678"/>
      <c r="AE108" s="678"/>
      <c r="AF108" s="672"/>
    </row>
    <row r="109" spans="1:32">
      <c r="B109" s="682" t="s">
        <v>433</v>
      </c>
      <c r="D109" s="667">
        <v>109</v>
      </c>
      <c r="E109" s="668">
        <v>0</v>
      </c>
      <c r="F109" s="668">
        <v>0</v>
      </c>
      <c r="G109" s="668">
        <v>0</v>
      </c>
      <c r="H109" s="668">
        <v>0</v>
      </c>
      <c r="I109" s="668">
        <v>0</v>
      </c>
      <c r="J109" s="669">
        <v>128</v>
      </c>
      <c r="K109" s="668">
        <v>0</v>
      </c>
      <c r="L109" s="668">
        <v>0</v>
      </c>
      <c r="M109" s="668">
        <v>0</v>
      </c>
      <c r="N109" s="668">
        <v>0</v>
      </c>
      <c r="O109" s="668">
        <v>0</v>
      </c>
      <c r="P109" s="668">
        <v>0</v>
      </c>
      <c r="Q109" s="668">
        <v>0</v>
      </c>
      <c r="R109" s="668">
        <v>0</v>
      </c>
      <c r="S109" s="668">
        <v>0</v>
      </c>
      <c r="T109" s="668">
        <v>0</v>
      </c>
      <c r="U109" s="668">
        <v>0</v>
      </c>
      <c r="V109" s="668">
        <v>0</v>
      </c>
      <c r="W109" s="668">
        <v>0</v>
      </c>
      <c r="X109" s="668">
        <v>0</v>
      </c>
      <c r="Y109" s="668">
        <v>0</v>
      </c>
      <c r="Z109" s="668">
        <v>0</v>
      </c>
      <c r="AA109" s="668">
        <v>0</v>
      </c>
      <c r="AB109" s="668">
        <v>0</v>
      </c>
      <c r="AC109" s="668">
        <v>0</v>
      </c>
      <c r="AD109" s="668">
        <v>0</v>
      </c>
      <c r="AE109" s="671">
        <v>169340859</v>
      </c>
      <c r="AF109" s="672"/>
    </row>
    <row r="110" spans="1:32">
      <c r="B110" s="682" t="s">
        <v>434</v>
      </c>
      <c r="D110" s="667">
        <v>110</v>
      </c>
      <c r="E110" s="668">
        <v>0</v>
      </c>
      <c r="F110" s="668">
        <v>0</v>
      </c>
      <c r="G110" s="668">
        <v>0</v>
      </c>
      <c r="H110" s="668">
        <v>0</v>
      </c>
      <c r="I110" s="668">
        <v>0</v>
      </c>
      <c r="J110" s="668">
        <v>0</v>
      </c>
      <c r="K110" s="668">
        <v>0</v>
      </c>
      <c r="L110" s="669">
        <v>1490410</v>
      </c>
      <c r="M110" s="669">
        <v>205398</v>
      </c>
      <c r="N110" s="668">
        <v>0</v>
      </c>
      <c r="O110" s="668">
        <v>0</v>
      </c>
      <c r="P110" s="668">
        <v>0</v>
      </c>
      <c r="Q110" s="668">
        <v>0</v>
      </c>
      <c r="R110" s="668">
        <v>0</v>
      </c>
      <c r="S110" s="668">
        <v>0</v>
      </c>
      <c r="T110" s="668">
        <v>0</v>
      </c>
      <c r="U110" s="668">
        <v>0</v>
      </c>
      <c r="V110" s="668">
        <v>0</v>
      </c>
      <c r="W110" s="668">
        <v>0</v>
      </c>
      <c r="X110" s="668">
        <v>0</v>
      </c>
      <c r="Y110" s="668">
        <v>0</v>
      </c>
      <c r="Z110" s="668">
        <v>0</v>
      </c>
      <c r="AA110" s="668">
        <v>0</v>
      </c>
      <c r="AB110" s="668">
        <v>0</v>
      </c>
      <c r="AC110" s="668">
        <v>0</v>
      </c>
      <c r="AD110" s="668">
        <v>0</v>
      </c>
      <c r="AE110" s="671"/>
      <c r="AF110" s="672"/>
    </row>
    <row r="111" spans="1:32">
      <c r="B111" s="682" t="s">
        <v>435</v>
      </c>
      <c r="D111" s="667">
        <v>111</v>
      </c>
      <c r="E111" s="668">
        <v>0</v>
      </c>
      <c r="F111" s="668">
        <v>0</v>
      </c>
      <c r="G111" s="668">
        <v>0</v>
      </c>
      <c r="H111" s="668">
        <v>0</v>
      </c>
      <c r="I111" s="668">
        <v>0</v>
      </c>
      <c r="J111" s="668">
        <v>0</v>
      </c>
      <c r="K111" s="668">
        <v>0</v>
      </c>
      <c r="L111" s="668">
        <v>0</v>
      </c>
      <c r="M111" s="668">
        <v>0</v>
      </c>
      <c r="N111" s="668">
        <v>0</v>
      </c>
      <c r="O111" s="668">
        <v>0</v>
      </c>
      <c r="P111" s="668">
        <v>0</v>
      </c>
      <c r="Q111" s="668">
        <v>0</v>
      </c>
      <c r="R111" s="668">
        <v>0</v>
      </c>
      <c r="S111" s="668">
        <v>0</v>
      </c>
      <c r="T111" s="668">
        <v>0</v>
      </c>
      <c r="U111" s="668">
        <v>0</v>
      </c>
      <c r="V111" s="668">
        <v>0</v>
      </c>
      <c r="W111" s="668">
        <v>0</v>
      </c>
      <c r="X111" s="668">
        <v>0</v>
      </c>
      <c r="Y111" s="668">
        <v>0</v>
      </c>
      <c r="Z111" s="668">
        <v>0</v>
      </c>
      <c r="AA111" s="668">
        <v>0</v>
      </c>
      <c r="AB111" s="668">
        <v>0</v>
      </c>
      <c r="AC111" s="668">
        <v>0</v>
      </c>
      <c r="AD111" s="668">
        <v>0</v>
      </c>
      <c r="AE111" s="671"/>
      <c r="AF111" s="672"/>
    </row>
    <row r="112" spans="1:32">
      <c r="B112" s="682" t="s">
        <v>436</v>
      </c>
      <c r="D112" s="667">
        <v>112</v>
      </c>
      <c r="E112" s="669">
        <v>289594</v>
      </c>
      <c r="F112" s="669">
        <v>92655</v>
      </c>
      <c r="G112" s="668">
        <v>0</v>
      </c>
      <c r="H112" s="669">
        <v>790102</v>
      </c>
      <c r="I112" s="669">
        <v>83242</v>
      </c>
      <c r="J112" s="668">
        <v>0</v>
      </c>
      <c r="K112" s="668">
        <v>0</v>
      </c>
      <c r="L112" s="668">
        <v>0</v>
      </c>
      <c r="M112" s="668">
        <v>0</v>
      </c>
      <c r="N112" s="668">
        <v>0</v>
      </c>
      <c r="O112" s="668">
        <v>0</v>
      </c>
      <c r="P112" s="668">
        <v>0</v>
      </c>
      <c r="Q112" s="668">
        <v>0</v>
      </c>
      <c r="R112" s="668">
        <v>0</v>
      </c>
      <c r="S112" s="669">
        <v>5391245</v>
      </c>
      <c r="T112" s="668">
        <v>0</v>
      </c>
      <c r="U112" s="668">
        <v>0</v>
      </c>
      <c r="V112" s="668">
        <v>0</v>
      </c>
      <c r="W112" s="668">
        <v>0</v>
      </c>
      <c r="X112" s="668">
        <v>0</v>
      </c>
      <c r="Y112" s="668">
        <v>0</v>
      </c>
      <c r="Z112" s="668">
        <v>0</v>
      </c>
      <c r="AA112" s="668"/>
      <c r="AB112" s="669">
        <v>56955</v>
      </c>
      <c r="AC112" s="669">
        <v>10000</v>
      </c>
      <c r="AD112" s="668">
        <v>0</v>
      </c>
      <c r="AE112" s="671"/>
      <c r="AF112" s="672"/>
    </row>
    <row r="113" spans="1:32">
      <c r="B113" s="682" t="s">
        <v>437</v>
      </c>
      <c r="D113" s="667">
        <v>113</v>
      </c>
      <c r="E113" s="668">
        <v>0</v>
      </c>
      <c r="F113" s="668">
        <v>0</v>
      </c>
      <c r="G113" s="668">
        <v>0</v>
      </c>
      <c r="H113" s="668">
        <v>0</v>
      </c>
      <c r="I113" s="668">
        <v>0</v>
      </c>
      <c r="J113" s="668">
        <v>0</v>
      </c>
      <c r="K113" s="668">
        <v>0</v>
      </c>
      <c r="L113" s="668">
        <v>0</v>
      </c>
      <c r="M113" s="668">
        <v>0</v>
      </c>
      <c r="N113" s="668">
        <v>0</v>
      </c>
      <c r="O113" s="668">
        <v>0</v>
      </c>
      <c r="P113" s="668">
        <v>0</v>
      </c>
      <c r="Q113" s="668">
        <v>0</v>
      </c>
      <c r="R113" s="668">
        <v>0</v>
      </c>
      <c r="S113" s="668">
        <v>0</v>
      </c>
      <c r="T113" s="668">
        <v>0</v>
      </c>
      <c r="U113" s="668">
        <v>41901</v>
      </c>
      <c r="V113" s="668">
        <v>0</v>
      </c>
      <c r="W113" s="668">
        <v>0</v>
      </c>
      <c r="X113" s="669">
        <v>357448</v>
      </c>
      <c r="Y113" s="669">
        <v>471085</v>
      </c>
      <c r="Z113" s="669">
        <v>0</v>
      </c>
      <c r="AA113" s="668">
        <v>0</v>
      </c>
      <c r="AB113" s="668">
        <v>0</v>
      </c>
      <c r="AC113" s="668">
        <v>0</v>
      </c>
      <c r="AD113" s="668">
        <v>0</v>
      </c>
      <c r="AE113" s="671"/>
      <c r="AF113" s="672"/>
    </row>
    <row r="114" spans="1:32">
      <c r="B114" s="682" t="s">
        <v>438</v>
      </c>
      <c r="D114" s="667">
        <v>114</v>
      </c>
      <c r="E114" s="668">
        <v>0</v>
      </c>
      <c r="F114" s="668">
        <v>0</v>
      </c>
      <c r="G114" s="668">
        <v>0</v>
      </c>
      <c r="H114" s="668">
        <v>0</v>
      </c>
      <c r="I114" s="668">
        <v>0</v>
      </c>
      <c r="J114" s="668">
        <v>0</v>
      </c>
      <c r="K114" s="668">
        <v>0</v>
      </c>
      <c r="L114" s="668">
        <v>0</v>
      </c>
      <c r="M114" s="668">
        <v>0</v>
      </c>
      <c r="N114" s="668">
        <v>0</v>
      </c>
      <c r="O114" s="668">
        <v>3700187</v>
      </c>
      <c r="P114" s="760">
        <v>4737</v>
      </c>
      <c r="Q114" s="668">
        <v>0</v>
      </c>
      <c r="R114" s="669">
        <v>1999</v>
      </c>
      <c r="S114" s="668">
        <v>0</v>
      </c>
      <c r="T114" s="668">
        <v>0</v>
      </c>
      <c r="U114" s="668">
        <v>0</v>
      </c>
      <c r="V114" s="668">
        <v>0</v>
      </c>
      <c r="W114" s="668">
        <v>0</v>
      </c>
      <c r="X114" s="668">
        <v>0</v>
      </c>
      <c r="Y114" s="668">
        <v>0</v>
      </c>
      <c r="Z114" s="668">
        <v>0</v>
      </c>
      <c r="AA114" s="668">
        <v>0</v>
      </c>
      <c r="AB114" s="668">
        <v>0</v>
      </c>
      <c r="AC114" s="668">
        <v>0</v>
      </c>
      <c r="AD114" s="668">
        <v>0</v>
      </c>
      <c r="AE114" s="671"/>
      <c r="AF114" s="672"/>
    </row>
    <row r="115" spans="1:32">
      <c r="B115" s="682"/>
      <c r="D115" s="667">
        <v>115</v>
      </c>
      <c r="E115" s="678"/>
      <c r="F115" s="678"/>
      <c r="G115" s="678"/>
      <c r="H115" s="678"/>
      <c r="I115" s="678"/>
      <c r="J115" s="678"/>
      <c r="K115" s="678"/>
      <c r="L115" s="678"/>
      <c r="M115" s="678"/>
      <c r="N115" s="678"/>
      <c r="O115" s="678"/>
      <c r="P115" s="678"/>
      <c r="Q115" s="678"/>
      <c r="R115" s="678"/>
      <c r="S115" s="678"/>
      <c r="T115" s="678"/>
      <c r="U115" s="678"/>
      <c r="V115" s="678"/>
      <c r="W115" s="678"/>
      <c r="X115" s="678"/>
      <c r="Y115" s="678"/>
      <c r="Z115" s="678"/>
      <c r="AA115" s="678"/>
      <c r="AB115" s="678"/>
      <c r="AC115" s="678"/>
      <c r="AD115" s="678"/>
      <c r="AE115" s="678"/>
      <c r="AF115" s="672"/>
    </row>
    <row r="116" spans="1:32">
      <c r="B116" s="708" t="s">
        <v>439</v>
      </c>
      <c r="D116" s="667">
        <v>116</v>
      </c>
      <c r="E116" s="678"/>
      <c r="F116" s="678"/>
      <c r="G116" s="678"/>
      <c r="H116" s="678"/>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78"/>
      <c r="AF116" s="672"/>
    </row>
    <row r="117" spans="1:32">
      <c r="B117" s="682"/>
      <c r="C117" s="682" t="s">
        <v>440</v>
      </c>
      <c r="D117" s="667">
        <v>117</v>
      </c>
      <c r="E117" s="668">
        <v>0</v>
      </c>
      <c r="F117" s="668">
        <v>0</v>
      </c>
      <c r="G117" s="668">
        <v>0</v>
      </c>
      <c r="H117" s="668">
        <v>0</v>
      </c>
      <c r="I117" s="668">
        <v>0</v>
      </c>
      <c r="J117" s="668">
        <v>0</v>
      </c>
      <c r="K117" s="668">
        <v>0</v>
      </c>
      <c r="L117" s="668">
        <v>0</v>
      </c>
      <c r="M117" s="668">
        <v>0</v>
      </c>
      <c r="N117" s="668">
        <v>0</v>
      </c>
      <c r="O117" s="668">
        <v>0</v>
      </c>
      <c r="P117" s="668">
        <v>0</v>
      </c>
      <c r="Q117" s="668">
        <v>0</v>
      </c>
      <c r="R117" s="668">
        <v>0</v>
      </c>
      <c r="S117" s="668">
        <v>0</v>
      </c>
      <c r="T117" s="668">
        <v>0</v>
      </c>
      <c r="U117" s="668">
        <v>0</v>
      </c>
      <c r="V117" s="668">
        <v>0</v>
      </c>
      <c r="W117" s="668">
        <v>0</v>
      </c>
      <c r="X117" s="668">
        <v>0</v>
      </c>
      <c r="Y117" s="668">
        <v>0</v>
      </c>
      <c r="Z117" s="668">
        <v>0</v>
      </c>
      <c r="AA117" s="668">
        <v>0</v>
      </c>
      <c r="AB117" s="668">
        <v>0</v>
      </c>
      <c r="AC117" s="668">
        <v>0</v>
      </c>
      <c r="AD117" s="668">
        <v>0</v>
      </c>
      <c r="AE117" s="671">
        <v>0</v>
      </c>
      <c r="AF117" s="672"/>
    </row>
    <row r="118" spans="1:32">
      <c r="B118" s="682"/>
      <c r="C118" s="682" t="s">
        <v>441</v>
      </c>
      <c r="D118" s="667">
        <v>118</v>
      </c>
      <c r="E118" s="668">
        <v>0</v>
      </c>
      <c r="F118" s="668">
        <v>0</v>
      </c>
      <c r="G118" s="668">
        <v>0</v>
      </c>
      <c r="H118" s="668">
        <v>0</v>
      </c>
      <c r="I118" s="668">
        <v>0</v>
      </c>
      <c r="J118" s="668">
        <v>0</v>
      </c>
      <c r="K118" s="668">
        <v>0</v>
      </c>
      <c r="L118" s="668">
        <v>0</v>
      </c>
      <c r="M118" s="668">
        <v>0</v>
      </c>
      <c r="N118" s="668">
        <v>0</v>
      </c>
      <c r="O118" s="668">
        <v>0</v>
      </c>
      <c r="P118" s="668">
        <v>0</v>
      </c>
      <c r="Q118" s="668">
        <v>0</v>
      </c>
      <c r="R118" s="668">
        <v>0</v>
      </c>
      <c r="S118" s="668">
        <v>0</v>
      </c>
      <c r="T118" s="668">
        <v>0</v>
      </c>
      <c r="U118" s="668">
        <v>0</v>
      </c>
      <c r="V118" s="668">
        <v>0</v>
      </c>
      <c r="W118" s="668">
        <v>0</v>
      </c>
      <c r="X118" s="668">
        <v>0</v>
      </c>
      <c r="Y118" s="668">
        <v>0</v>
      </c>
      <c r="Z118" s="668">
        <v>0</v>
      </c>
      <c r="AA118" s="668">
        <v>0</v>
      </c>
      <c r="AB118" s="668">
        <v>0</v>
      </c>
      <c r="AC118" s="668">
        <v>0</v>
      </c>
      <c r="AD118" s="668">
        <v>0</v>
      </c>
      <c r="AE118" s="671">
        <v>0</v>
      </c>
      <c r="AF118" s="672"/>
    </row>
    <row r="119" spans="1:32" ht="15.75" thickBot="1">
      <c r="B119" s="682"/>
      <c r="C119" s="675"/>
      <c r="D119" s="667">
        <v>119</v>
      </c>
      <c r="E119" s="678"/>
      <c r="F119" s="678"/>
      <c r="G119" s="678"/>
      <c r="H119" s="678"/>
      <c r="I119" s="678"/>
      <c r="J119" s="678"/>
      <c r="K119" s="678"/>
      <c r="L119" s="678"/>
      <c r="M119" s="678"/>
      <c r="N119" s="678"/>
      <c r="O119" s="678"/>
      <c r="P119" s="678"/>
      <c r="Q119" s="678"/>
      <c r="R119" s="678"/>
      <c r="S119" s="678"/>
      <c r="T119" s="678"/>
      <c r="U119" s="678"/>
      <c r="V119" s="678"/>
      <c r="W119" s="678"/>
      <c r="X119" s="678"/>
      <c r="Y119" s="678"/>
      <c r="Z119" s="678"/>
      <c r="AA119" s="678"/>
      <c r="AB119" s="678"/>
      <c r="AC119" s="678"/>
      <c r="AD119" s="678"/>
      <c r="AE119" s="678"/>
      <c r="AF119" s="672"/>
    </row>
    <row r="120" spans="1:32" ht="15.75" thickBot="1">
      <c r="C120" s="675" t="s">
        <v>444</v>
      </c>
      <c r="D120" s="667">
        <v>120</v>
      </c>
      <c r="E120" s="683">
        <f t="shared" ref="E120:M120" si="34">SUM(E117:E118,E109:E114)</f>
        <v>289594</v>
      </c>
      <c r="F120" s="683">
        <f t="shared" si="34"/>
        <v>92655</v>
      </c>
      <c r="G120" s="683">
        <f t="shared" si="34"/>
        <v>0</v>
      </c>
      <c r="H120" s="683">
        <f t="shared" si="34"/>
        <v>790102</v>
      </c>
      <c r="I120" s="683">
        <f t="shared" si="34"/>
        <v>83242</v>
      </c>
      <c r="J120" s="683">
        <f t="shared" si="34"/>
        <v>128</v>
      </c>
      <c r="K120" s="683">
        <f t="shared" si="34"/>
        <v>0</v>
      </c>
      <c r="L120" s="683">
        <f t="shared" si="34"/>
        <v>1490410</v>
      </c>
      <c r="M120" s="683">
        <f t="shared" si="34"/>
        <v>205398</v>
      </c>
      <c r="N120" s="683">
        <f t="shared" ref="N120:AE120" si="35">SUM(N117:N118,N109:N114)</f>
        <v>0</v>
      </c>
      <c r="O120" s="683">
        <f>SUM(O117:O118,O109:O114)</f>
        <v>3700187</v>
      </c>
      <c r="P120" s="683">
        <f>SUM(P117:P118,P109:P114)</f>
        <v>4737</v>
      </c>
      <c r="Q120" s="683">
        <f>SUM(Q117:Q118,Q109:Q114)</f>
        <v>0</v>
      </c>
      <c r="R120" s="683">
        <f>SUM(R117:R118,R109:R114)</f>
        <v>1999</v>
      </c>
      <c r="S120" s="683">
        <f>SUM(S117:S118,S109:S114)</f>
        <v>5391245</v>
      </c>
      <c r="T120" s="683">
        <f t="shared" si="35"/>
        <v>0</v>
      </c>
      <c r="U120" s="684">
        <f>SUM(U117:U118,U109:U114)</f>
        <v>41901</v>
      </c>
      <c r="V120" s="683">
        <f t="shared" si="35"/>
        <v>0</v>
      </c>
      <c r="W120" s="683">
        <f t="shared" si="35"/>
        <v>0</v>
      </c>
      <c r="X120" s="683">
        <f t="shared" si="35"/>
        <v>357448</v>
      </c>
      <c r="Y120" s="683">
        <f>SUM(Y117:Y118,Y109:Y114)</f>
        <v>471085</v>
      </c>
      <c r="Z120" s="683">
        <f>SUM(Z117:Z118,Z109:Z114)</f>
        <v>0</v>
      </c>
      <c r="AA120" s="683">
        <f t="shared" ref="AA120:AD120" si="36">SUM(AA117:AA118,AA109:AA114)</f>
        <v>0</v>
      </c>
      <c r="AB120" s="683">
        <f t="shared" si="36"/>
        <v>56955</v>
      </c>
      <c r="AC120" s="683">
        <f t="shared" si="36"/>
        <v>10000</v>
      </c>
      <c r="AD120" s="683">
        <f t="shared" si="36"/>
        <v>0</v>
      </c>
      <c r="AE120" s="684">
        <f t="shared" si="35"/>
        <v>169340859</v>
      </c>
      <c r="AF120" s="680"/>
    </row>
    <row r="121" spans="1:32" ht="15.75" thickBot="1">
      <c r="D121" s="667">
        <v>121</v>
      </c>
      <c r="E121" s="678"/>
      <c r="F121" s="678"/>
      <c r="G121" s="678"/>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80"/>
    </row>
    <row r="122" spans="1:32" ht="15.75" thickBot="1">
      <c r="C122" s="675" t="s">
        <v>446</v>
      </c>
      <c r="D122" s="667">
        <v>122</v>
      </c>
      <c r="E122" s="683">
        <f t="shared" ref="E122:M122" si="37">E106-E120</f>
        <v>-319544</v>
      </c>
      <c r="F122" s="683">
        <f t="shared" si="37"/>
        <v>-465</v>
      </c>
      <c r="G122" s="683">
        <f t="shared" si="37"/>
        <v>14194</v>
      </c>
      <c r="H122" s="683">
        <f t="shared" si="37"/>
        <v>151027</v>
      </c>
      <c r="I122" s="683">
        <f t="shared" si="37"/>
        <v>140505</v>
      </c>
      <c r="J122" s="683">
        <f t="shared" si="37"/>
        <v>2762</v>
      </c>
      <c r="K122" s="683">
        <f t="shared" si="37"/>
        <v>27945</v>
      </c>
      <c r="L122" s="683">
        <f t="shared" si="37"/>
        <v>-545156</v>
      </c>
      <c r="M122" s="683">
        <f t="shared" si="37"/>
        <v>434298</v>
      </c>
      <c r="N122" s="683">
        <f t="shared" ref="N122:AE122" si="38">N106-N120</f>
        <v>0</v>
      </c>
      <c r="O122" s="683">
        <f>O106-O120</f>
        <v>-14801</v>
      </c>
      <c r="P122" s="683">
        <f>P106-P120</f>
        <v>-4737</v>
      </c>
      <c r="Q122" s="683">
        <f>Q106-Q120</f>
        <v>0</v>
      </c>
      <c r="R122" s="683">
        <f>R106-R120</f>
        <v>-232</v>
      </c>
      <c r="S122" s="683">
        <f>S106-S120</f>
        <v>62415</v>
      </c>
      <c r="T122" s="683">
        <f t="shared" si="38"/>
        <v>0</v>
      </c>
      <c r="U122" s="684">
        <f>U106-U120</f>
        <v>-41901</v>
      </c>
      <c r="V122" s="683">
        <f t="shared" si="38"/>
        <v>0</v>
      </c>
      <c r="W122" s="683">
        <f t="shared" si="38"/>
        <v>0</v>
      </c>
      <c r="X122" s="683">
        <f t="shared" si="38"/>
        <v>185930</v>
      </c>
      <c r="Y122" s="683">
        <f>Y106-Y120</f>
        <v>-85789</v>
      </c>
      <c r="Z122" s="683">
        <f>Z106-Z120</f>
        <v>4371</v>
      </c>
      <c r="AA122" s="683">
        <f t="shared" ref="AA122:AD122" si="39">AA106-AA120</f>
        <v>0</v>
      </c>
      <c r="AB122" s="683">
        <f t="shared" si="39"/>
        <v>240</v>
      </c>
      <c r="AC122" s="683">
        <f t="shared" si="39"/>
        <v>0</v>
      </c>
      <c r="AD122" s="683">
        <f t="shared" si="39"/>
        <v>0</v>
      </c>
      <c r="AE122" s="684">
        <f t="shared" si="38"/>
        <v>-164523892</v>
      </c>
      <c r="AF122" s="680"/>
    </row>
    <row r="123" spans="1:32">
      <c r="D123" s="667">
        <v>123</v>
      </c>
      <c r="E123" s="678"/>
      <c r="F123" s="678"/>
      <c r="G123" s="678"/>
      <c r="H123" s="678"/>
      <c r="I123" s="678" t="s">
        <v>3366</v>
      </c>
      <c r="J123" s="678"/>
      <c r="K123" s="678"/>
      <c r="L123" s="678"/>
      <c r="M123" s="678"/>
      <c r="N123" s="678"/>
      <c r="O123" s="678"/>
      <c r="P123" s="678"/>
      <c r="Q123" s="678"/>
      <c r="R123" s="678"/>
      <c r="S123" s="678"/>
      <c r="T123" s="678"/>
      <c r="U123" s="678"/>
      <c r="V123" s="678"/>
      <c r="W123" s="678"/>
      <c r="X123" s="678"/>
      <c r="Y123" s="678"/>
      <c r="Z123" s="678"/>
      <c r="AA123" s="678"/>
      <c r="AB123" s="678"/>
      <c r="AC123" s="678"/>
      <c r="AD123" s="678"/>
      <c r="AE123" s="678"/>
      <c r="AF123" s="672"/>
    </row>
    <row r="124" spans="1:32">
      <c r="A124" s="682" t="s">
        <v>332</v>
      </c>
      <c r="D124" s="667">
        <v>124</v>
      </c>
      <c r="E124" s="668">
        <v>0</v>
      </c>
      <c r="F124" s="668">
        <v>0</v>
      </c>
      <c r="G124" s="668">
        <v>0</v>
      </c>
      <c r="H124" s="668">
        <v>0</v>
      </c>
      <c r="I124" s="668">
        <v>0</v>
      </c>
      <c r="J124" s="668">
        <v>0</v>
      </c>
      <c r="K124" s="668">
        <v>0</v>
      </c>
      <c r="L124" s="668">
        <v>0</v>
      </c>
      <c r="M124" s="668">
        <v>0</v>
      </c>
      <c r="N124" s="668">
        <v>0</v>
      </c>
      <c r="O124" s="668">
        <v>0</v>
      </c>
      <c r="P124" s="668">
        <v>0</v>
      </c>
      <c r="Q124" s="668">
        <v>0</v>
      </c>
      <c r="R124" s="668">
        <v>0</v>
      </c>
      <c r="S124" s="668">
        <v>0</v>
      </c>
      <c r="T124" s="668">
        <v>0</v>
      </c>
      <c r="U124" s="668">
        <v>0</v>
      </c>
      <c r="V124" s="668">
        <v>0</v>
      </c>
      <c r="W124" s="668">
        <v>0</v>
      </c>
      <c r="X124" s="668">
        <v>0</v>
      </c>
      <c r="Y124" s="668">
        <v>0</v>
      </c>
      <c r="Z124" s="668">
        <v>0</v>
      </c>
      <c r="AA124" s="668">
        <v>0</v>
      </c>
      <c r="AB124" s="668">
        <v>0</v>
      </c>
      <c r="AC124" s="668">
        <v>0</v>
      </c>
      <c r="AD124" s="668">
        <v>0</v>
      </c>
      <c r="AE124" s="671">
        <v>0</v>
      </c>
      <c r="AF124" s="672"/>
    </row>
    <row r="125" spans="1:32">
      <c r="A125" s="682" t="s">
        <v>333</v>
      </c>
      <c r="D125" s="667">
        <v>125</v>
      </c>
      <c r="E125" s="668">
        <v>0</v>
      </c>
      <c r="F125" s="668">
        <v>0</v>
      </c>
      <c r="G125" s="668">
        <v>0</v>
      </c>
      <c r="H125" s="668">
        <v>0</v>
      </c>
      <c r="I125" s="668">
        <v>0</v>
      </c>
      <c r="J125" s="668">
        <v>0</v>
      </c>
      <c r="K125" s="668">
        <v>0</v>
      </c>
      <c r="L125" s="668">
        <v>0</v>
      </c>
      <c r="M125" s="668">
        <v>0</v>
      </c>
      <c r="N125" s="668">
        <v>0</v>
      </c>
      <c r="O125" s="668">
        <v>0</v>
      </c>
      <c r="P125" s="668">
        <v>0</v>
      </c>
      <c r="Q125" s="668">
        <v>0</v>
      </c>
      <c r="R125" s="668">
        <v>0</v>
      </c>
      <c r="S125" s="668">
        <v>0</v>
      </c>
      <c r="T125" s="668">
        <v>0</v>
      </c>
      <c r="U125" s="668">
        <v>0</v>
      </c>
      <c r="V125" s="668">
        <v>0</v>
      </c>
      <c r="W125" s="668">
        <v>0</v>
      </c>
      <c r="X125" s="668">
        <v>0</v>
      </c>
      <c r="Y125" s="668">
        <v>0</v>
      </c>
      <c r="Z125" s="668">
        <v>0</v>
      </c>
      <c r="AA125" s="668">
        <v>0</v>
      </c>
      <c r="AB125" s="668">
        <v>0</v>
      </c>
      <c r="AC125" s="668">
        <v>0</v>
      </c>
      <c r="AD125" s="668">
        <v>0</v>
      </c>
      <c r="AE125" s="671">
        <v>0</v>
      </c>
      <c r="AF125" s="672"/>
    </row>
    <row r="126" spans="1:32">
      <c r="A126" s="682" t="s">
        <v>334</v>
      </c>
      <c r="D126" s="667">
        <v>126</v>
      </c>
      <c r="E126" s="668">
        <v>0</v>
      </c>
      <c r="F126" s="668">
        <v>0</v>
      </c>
      <c r="G126" s="668">
        <v>0</v>
      </c>
      <c r="H126" s="668">
        <v>0</v>
      </c>
      <c r="I126" s="668">
        <v>0</v>
      </c>
      <c r="J126" s="668">
        <v>0</v>
      </c>
      <c r="K126" s="668">
        <v>0</v>
      </c>
      <c r="L126" s="668">
        <v>0</v>
      </c>
      <c r="M126" s="668">
        <v>0</v>
      </c>
      <c r="N126" s="668">
        <v>0</v>
      </c>
      <c r="O126" s="668">
        <v>0</v>
      </c>
      <c r="P126" s="668">
        <v>0</v>
      </c>
      <c r="Q126" s="668">
        <v>0</v>
      </c>
      <c r="R126" s="668">
        <v>0</v>
      </c>
      <c r="S126" s="668">
        <v>0</v>
      </c>
      <c r="T126" s="668">
        <v>0</v>
      </c>
      <c r="U126" s="668">
        <v>0</v>
      </c>
      <c r="V126" s="668">
        <v>0</v>
      </c>
      <c r="W126" s="668">
        <v>0</v>
      </c>
      <c r="X126" s="668">
        <v>0</v>
      </c>
      <c r="Y126" s="668">
        <v>0</v>
      </c>
      <c r="Z126" s="668">
        <v>0</v>
      </c>
      <c r="AA126" s="668">
        <v>0</v>
      </c>
      <c r="AB126" s="668">
        <v>0</v>
      </c>
      <c r="AC126" s="668">
        <v>0</v>
      </c>
      <c r="AD126" s="668">
        <v>0</v>
      </c>
      <c r="AE126" s="671">
        <v>0</v>
      </c>
      <c r="AF126" s="672"/>
    </row>
    <row r="127" spans="1:32">
      <c r="A127" s="682" t="s">
        <v>285</v>
      </c>
      <c r="D127" s="667">
        <v>127</v>
      </c>
      <c r="E127" s="668">
        <v>0</v>
      </c>
      <c r="F127" s="668">
        <v>0</v>
      </c>
      <c r="G127" s="668">
        <v>0</v>
      </c>
      <c r="H127" s="668">
        <v>0</v>
      </c>
      <c r="I127" s="668">
        <v>0</v>
      </c>
      <c r="J127" s="668">
        <v>0</v>
      </c>
      <c r="K127" s="668">
        <v>0</v>
      </c>
      <c r="L127" s="668">
        <v>0</v>
      </c>
      <c r="M127" s="668">
        <v>0</v>
      </c>
      <c r="N127" s="668">
        <v>0</v>
      </c>
      <c r="O127" s="668">
        <v>0</v>
      </c>
      <c r="P127" s="668">
        <v>0</v>
      </c>
      <c r="Q127" s="668">
        <v>0</v>
      </c>
      <c r="R127" s="668">
        <v>0</v>
      </c>
      <c r="S127" s="668">
        <v>0</v>
      </c>
      <c r="T127" s="668">
        <v>0</v>
      </c>
      <c r="U127" s="668">
        <v>0</v>
      </c>
      <c r="V127" s="668">
        <v>0</v>
      </c>
      <c r="W127" s="668">
        <v>0</v>
      </c>
      <c r="X127" s="668">
        <v>0</v>
      </c>
      <c r="Y127" s="668">
        <v>0</v>
      </c>
      <c r="Z127" s="668">
        <v>0</v>
      </c>
      <c r="AA127" s="668">
        <v>0</v>
      </c>
      <c r="AB127" s="668">
        <v>0</v>
      </c>
      <c r="AC127" s="668">
        <v>0</v>
      </c>
      <c r="AD127" s="668">
        <v>0</v>
      </c>
      <c r="AE127" s="671">
        <v>0</v>
      </c>
      <c r="AF127" s="672"/>
    </row>
    <row r="128" spans="1:32">
      <c r="A128" s="682" t="s">
        <v>68</v>
      </c>
      <c r="D128" s="667">
        <v>128</v>
      </c>
      <c r="E128" s="668">
        <v>0</v>
      </c>
      <c r="F128" s="668">
        <v>0</v>
      </c>
      <c r="G128" s="668">
        <v>0</v>
      </c>
      <c r="H128" s="668">
        <v>0</v>
      </c>
      <c r="I128" s="668">
        <v>0</v>
      </c>
      <c r="J128" s="668">
        <v>0</v>
      </c>
      <c r="K128" s="668">
        <v>0</v>
      </c>
      <c r="L128" s="668">
        <v>0</v>
      </c>
      <c r="M128" s="668">
        <v>0</v>
      </c>
      <c r="N128" s="668">
        <v>0</v>
      </c>
      <c r="O128" s="668">
        <v>0</v>
      </c>
      <c r="P128" s="668">
        <v>0</v>
      </c>
      <c r="Q128" s="668">
        <v>0</v>
      </c>
      <c r="R128" s="668">
        <v>0</v>
      </c>
      <c r="S128" s="668">
        <v>0</v>
      </c>
      <c r="T128" s="668">
        <v>0</v>
      </c>
      <c r="U128" s="668">
        <v>0</v>
      </c>
      <c r="V128" s="668">
        <v>0</v>
      </c>
      <c r="W128" s="668">
        <v>0</v>
      </c>
      <c r="X128" s="668">
        <v>0</v>
      </c>
      <c r="Y128" s="669">
        <v>30834</v>
      </c>
      <c r="Z128" s="668">
        <v>0</v>
      </c>
      <c r="AA128" s="668">
        <v>0</v>
      </c>
      <c r="AB128" s="668">
        <v>0</v>
      </c>
      <c r="AC128" s="668">
        <v>0</v>
      </c>
      <c r="AD128" s="668">
        <v>0</v>
      </c>
      <c r="AE128" s="671">
        <v>156973</v>
      </c>
      <c r="AF128" s="672"/>
    </row>
    <row r="129" spans="1:32">
      <c r="A129" s="682" t="s">
        <v>69</v>
      </c>
      <c r="D129" s="667">
        <v>129</v>
      </c>
      <c r="E129" s="668">
        <v>0</v>
      </c>
      <c r="F129" s="668">
        <v>0</v>
      </c>
      <c r="G129" s="668">
        <v>0</v>
      </c>
      <c r="H129" s="668">
        <v>0</v>
      </c>
      <c r="I129" s="759">
        <v>-375474</v>
      </c>
      <c r="J129" s="668">
        <v>0</v>
      </c>
      <c r="K129" s="668">
        <v>0</v>
      </c>
      <c r="L129" s="668">
        <v>0</v>
      </c>
      <c r="M129" s="668">
        <v>0</v>
      </c>
      <c r="N129" s="668">
        <v>0</v>
      </c>
      <c r="O129" s="668">
        <v>0</v>
      </c>
      <c r="P129" s="761">
        <v>0</v>
      </c>
      <c r="Q129" s="668">
        <v>0</v>
      </c>
      <c r="R129" s="668">
        <v>0</v>
      </c>
      <c r="S129" s="668">
        <v>0</v>
      </c>
      <c r="T129" s="668">
        <v>0</v>
      </c>
      <c r="U129" s="668">
        <v>0</v>
      </c>
      <c r="V129" s="668">
        <v>0</v>
      </c>
      <c r="W129" s="668">
        <v>0</v>
      </c>
      <c r="X129" s="668">
        <v>0</v>
      </c>
      <c r="Y129" s="668">
        <v>0</v>
      </c>
      <c r="Z129" s="669">
        <v>0</v>
      </c>
      <c r="AA129" s="668">
        <v>0</v>
      </c>
      <c r="AB129" s="668">
        <v>0</v>
      </c>
      <c r="AC129" s="668">
        <v>0</v>
      </c>
      <c r="AD129" s="668">
        <v>0</v>
      </c>
      <c r="AE129" s="671">
        <v>-57837</v>
      </c>
      <c r="AF129" s="672"/>
    </row>
    <row r="130" spans="1:32">
      <c r="A130" s="709" t="s">
        <v>61</v>
      </c>
      <c r="D130" s="667">
        <v>130</v>
      </c>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4">
        <v>242480000</v>
      </c>
      <c r="AF130" s="672"/>
    </row>
    <row r="131" spans="1:32">
      <c r="A131" s="709" t="s">
        <v>205</v>
      </c>
      <c r="D131" s="667">
        <v>131</v>
      </c>
      <c r="E131" s="692"/>
      <c r="F131" s="692"/>
      <c r="G131" s="692"/>
      <c r="H131" s="692"/>
      <c r="I131" s="692"/>
      <c r="J131" s="692"/>
      <c r="K131" s="692"/>
      <c r="L131" s="692"/>
      <c r="M131" s="692"/>
      <c r="N131" s="692"/>
      <c r="O131" s="692"/>
      <c r="P131" s="692"/>
      <c r="Q131" s="692"/>
      <c r="R131" s="692"/>
      <c r="S131" s="692"/>
      <c r="T131" s="692"/>
      <c r="U131" s="692"/>
      <c r="V131" s="692"/>
      <c r="W131" s="692"/>
      <c r="X131" s="692"/>
      <c r="Y131" s="692"/>
      <c r="Z131" s="692"/>
      <c r="AA131" s="692"/>
      <c r="AB131" s="692"/>
      <c r="AC131" s="692"/>
      <c r="AD131" s="692"/>
      <c r="AE131" s="694">
        <v>14101163</v>
      </c>
      <c r="AF131" s="672"/>
    </row>
    <row r="132" spans="1:32">
      <c r="A132" s="709" t="s">
        <v>62</v>
      </c>
      <c r="D132" s="667">
        <v>132</v>
      </c>
      <c r="E132" s="692"/>
      <c r="F132" s="692"/>
      <c r="G132" s="692"/>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4">
        <v>0</v>
      </c>
      <c r="AF132" s="672"/>
    </row>
    <row r="133" spans="1:32">
      <c r="A133" s="709" t="s">
        <v>207</v>
      </c>
      <c r="D133" s="667">
        <v>133</v>
      </c>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4">
        <v>0</v>
      </c>
      <c r="AF133" s="672"/>
    </row>
    <row r="134" spans="1:32">
      <c r="A134" s="709" t="s">
        <v>63</v>
      </c>
      <c r="D134" s="667">
        <v>134</v>
      </c>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2"/>
      <c r="AB134" s="692"/>
      <c r="AC134" s="692"/>
      <c r="AD134" s="692"/>
      <c r="AE134" s="694">
        <v>0</v>
      </c>
      <c r="AF134" s="672"/>
    </row>
    <row r="135" spans="1:32" ht="15.75" thickBot="1">
      <c r="A135" s="682"/>
      <c r="D135" s="667">
        <v>135</v>
      </c>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2"/>
      <c r="AD135" s="672"/>
      <c r="AE135" s="672"/>
      <c r="AF135" s="672"/>
    </row>
    <row r="136" spans="1:32" ht="15.75" thickBot="1">
      <c r="C136" s="675" t="s">
        <v>447</v>
      </c>
      <c r="D136" s="667">
        <v>136</v>
      </c>
      <c r="E136" s="683">
        <f t="shared" ref="E136:M136" si="40">SUM(E122,E124:E134)</f>
        <v>-319544</v>
      </c>
      <c r="F136" s="683">
        <f t="shared" si="40"/>
        <v>-465</v>
      </c>
      <c r="G136" s="683">
        <f t="shared" si="40"/>
        <v>14194</v>
      </c>
      <c r="H136" s="683">
        <f t="shared" si="40"/>
        <v>151027</v>
      </c>
      <c r="I136" s="683">
        <f t="shared" si="40"/>
        <v>-234969</v>
      </c>
      <c r="J136" s="683">
        <f t="shared" si="40"/>
        <v>2762</v>
      </c>
      <c r="K136" s="683">
        <f t="shared" si="40"/>
        <v>27945</v>
      </c>
      <c r="L136" s="683">
        <f t="shared" si="40"/>
        <v>-545156</v>
      </c>
      <c r="M136" s="683">
        <f t="shared" si="40"/>
        <v>434298</v>
      </c>
      <c r="N136" s="683">
        <f t="shared" ref="N136:AE136" si="41">SUM(N122,N124:N134)</f>
        <v>0</v>
      </c>
      <c r="O136" s="683">
        <f>SUM(O122,O124:O134)</f>
        <v>-14801</v>
      </c>
      <c r="P136" s="683">
        <f>SUM(P122,P124:P134)</f>
        <v>-4737</v>
      </c>
      <c r="Q136" s="683">
        <f>SUM(Q122,Q124:Q134)</f>
        <v>0</v>
      </c>
      <c r="R136" s="683">
        <f>SUM(R122,R124:R134)</f>
        <v>-232</v>
      </c>
      <c r="S136" s="683">
        <f>SUM(S122,S124:S134)</f>
        <v>62415</v>
      </c>
      <c r="T136" s="683">
        <f t="shared" si="41"/>
        <v>0</v>
      </c>
      <c r="U136" s="684">
        <f>SUM(U122,U124:U134)</f>
        <v>-41901</v>
      </c>
      <c r="V136" s="683">
        <f t="shared" si="41"/>
        <v>0</v>
      </c>
      <c r="W136" s="683">
        <f t="shared" si="41"/>
        <v>0</v>
      </c>
      <c r="X136" s="683">
        <f t="shared" si="41"/>
        <v>185930</v>
      </c>
      <c r="Y136" s="683">
        <f>SUM(Y122,Y124:Y134)</f>
        <v>-54955</v>
      </c>
      <c r="Z136" s="683">
        <f>SUM(Z122,Z124:Z134)</f>
        <v>4371</v>
      </c>
      <c r="AA136" s="683">
        <f t="shared" ref="AA136:AD136" si="42">SUM(AA122,AA124:AA134)</f>
        <v>0</v>
      </c>
      <c r="AB136" s="683">
        <f t="shared" si="42"/>
        <v>240</v>
      </c>
      <c r="AC136" s="683">
        <f t="shared" si="42"/>
        <v>0</v>
      </c>
      <c r="AD136" s="683">
        <f t="shared" si="42"/>
        <v>0</v>
      </c>
      <c r="AE136" s="684">
        <f t="shared" si="41"/>
        <v>92156407</v>
      </c>
      <c r="AF136" s="680"/>
    </row>
    <row r="137" spans="1:32">
      <c r="D137" s="667">
        <v>137</v>
      </c>
      <c r="E137" s="680"/>
      <c r="F137" s="680"/>
      <c r="G137" s="680"/>
      <c r="H137" s="680"/>
      <c r="I137" s="680"/>
      <c r="J137" s="680"/>
      <c r="K137" s="680"/>
      <c r="L137" s="680"/>
      <c r="M137" s="680"/>
      <c r="N137" s="680"/>
      <c r="O137" s="680"/>
      <c r="P137" s="680"/>
      <c r="Q137" s="680"/>
      <c r="R137" s="680"/>
      <c r="S137" s="680"/>
      <c r="T137" s="680"/>
      <c r="U137" s="680"/>
      <c r="V137" s="680"/>
      <c r="W137" s="680"/>
      <c r="X137" s="680"/>
      <c r="Y137" s="680"/>
      <c r="Z137" s="680"/>
      <c r="AA137" s="680"/>
      <c r="AB137" s="680"/>
      <c r="AC137" s="680"/>
      <c r="AD137" s="680"/>
      <c r="AE137" s="680"/>
      <c r="AF137" s="672"/>
    </row>
    <row r="138" spans="1:32">
      <c r="A138" s="682" t="s">
        <v>449</v>
      </c>
      <c r="D138" s="667">
        <v>138</v>
      </c>
      <c r="E138" s="710">
        <v>9822830</v>
      </c>
      <c r="F138" s="710">
        <v>214395</v>
      </c>
      <c r="G138" s="710">
        <v>150839</v>
      </c>
      <c r="H138" s="710">
        <v>3662516</v>
      </c>
      <c r="I138" s="710">
        <v>2760309</v>
      </c>
      <c r="J138" s="710">
        <v>275195</v>
      </c>
      <c r="K138" s="710">
        <v>908510</v>
      </c>
      <c r="L138" s="710">
        <v>3484308</v>
      </c>
      <c r="M138" s="710">
        <v>5768374</v>
      </c>
      <c r="N138" s="692">
        <v>0</v>
      </c>
      <c r="O138" s="692">
        <v>5746772</v>
      </c>
      <c r="P138" s="710">
        <v>4737</v>
      </c>
      <c r="Q138" s="692">
        <v>6</v>
      </c>
      <c r="R138" s="710">
        <v>2750</v>
      </c>
      <c r="S138" s="710">
        <v>78814</v>
      </c>
      <c r="T138" s="692">
        <v>0</v>
      </c>
      <c r="U138" s="692">
        <v>80347</v>
      </c>
      <c r="V138" s="692">
        <v>0</v>
      </c>
      <c r="W138" s="692">
        <v>0</v>
      </c>
      <c r="X138" s="710">
        <v>5582286</v>
      </c>
      <c r="Y138" s="710">
        <v>2313153</v>
      </c>
      <c r="Z138" s="710">
        <v>131481</v>
      </c>
      <c r="AA138" s="692"/>
      <c r="AB138" s="710">
        <v>24</v>
      </c>
      <c r="AC138" s="692">
        <v>0</v>
      </c>
      <c r="AD138" s="692">
        <v>0</v>
      </c>
      <c r="AE138" s="694">
        <v>-6534148</v>
      </c>
      <c r="AF138" s="672"/>
    </row>
    <row r="139" spans="1:32" ht="15.75" thickBot="1">
      <c r="A139" s="682"/>
      <c r="D139" s="667">
        <v>139</v>
      </c>
      <c r="E139" s="672"/>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row>
    <row r="140" spans="1:32" ht="15.75" thickBot="1">
      <c r="A140" s="682"/>
      <c r="C140" s="675" t="s">
        <v>448</v>
      </c>
      <c r="D140" s="667">
        <v>140</v>
      </c>
      <c r="E140" s="683">
        <f t="shared" ref="E140:M140" si="43">SUM(E136,E138)</f>
        <v>9503286</v>
      </c>
      <c r="F140" s="683">
        <f t="shared" si="43"/>
        <v>213930</v>
      </c>
      <c r="G140" s="683">
        <f t="shared" si="43"/>
        <v>165033</v>
      </c>
      <c r="H140" s="683">
        <f t="shared" si="43"/>
        <v>3813543</v>
      </c>
      <c r="I140" s="683">
        <f t="shared" si="43"/>
        <v>2525340</v>
      </c>
      <c r="J140" s="683">
        <f t="shared" si="43"/>
        <v>277957</v>
      </c>
      <c r="K140" s="683">
        <f t="shared" si="43"/>
        <v>936455</v>
      </c>
      <c r="L140" s="683">
        <f t="shared" si="43"/>
        <v>2939152</v>
      </c>
      <c r="M140" s="683">
        <f t="shared" si="43"/>
        <v>6202672</v>
      </c>
      <c r="N140" s="683">
        <f t="shared" ref="N140:AE140" si="44">SUM(N136,N138)</f>
        <v>0</v>
      </c>
      <c r="O140" s="683">
        <f>SUM(O136,O138)</f>
        <v>5731971</v>
      </c>
      <c r="P140" s="683">
        <f>SUM(P136,P138)</f>
        <v>0</v>
      </c>
      <c r="Q140" s="683">
        <f>SUM(Q136,Q138)</f>
        <v>6</v>
      </c>
      <c r="R140" s="683">
        <f>SUM(R136,R138)</f>
        <v>2518</v>
      </c>
      <c r="S140" s="683">
        <f>SUM(S136,S138)</f>
        <v>141229</v>
      </c>
      <c r="T140" s="683">
        <f t="shared" si="44"/>
        <v>0</v>
      </c>
      <c r="U140" s="684">
        <f>SUM(U136,U138)</f>
        <v>38446</v>
      </c>
      <c r="V140" s="683">
        <f t="shared" si="44"/>
        <v>0</v>
      </c>
      <c r="W140" s="683">
        <f t="shared" si="44"/>
        <v>0</v>
      </c>
      <c r="X140" s="683">
        <f t="shared" si="44"/>
        <v>5768216</v>
      </c>
      <c r="Y140" s="683">
        <f>SUM(Y136,Y138)</f>
        <v>2258198</v>
      </c>
      <c r="Z140" s="683">
        <f>SUM(Z136,Z138)</f>
        <v>135852</v>
      </c>
      <c r="AA140" s="683">
        <f t="shared" ref="AA140:AD140" si="45">SUM(AA136,AA138)</f>
        <v>0</v>
      </c>
      <c r="AB140" s="683">
        <f t="shared" si="45"/>
        <v>264</v>
      </c>
      <c r="AC140" s="683">
        <f t="shared" si="45"/>
        <v>0</v>
      </c>
      <c r="AD140" s="683">
        <f t="shared" si="45"/>
        <v>0</v>
      </c>
      <c r="AE140" s="684">
        <f t="shared" si="44"/>
        <v>85622259</v>
      </c>
      <c r="AF140" s="680"/>
    </row>
    <row r="141" spans="1:32" s="712" customFormat="1">
      <c r="A141" s="711"/>
      <c r="C141" s="712" t="s">
        <v>275</v>
      </c>
      <c r="E141" s="713">
        <f>E140-E85</f>
        <v>0</v>
      </c>
      <c r="F141" s="713">
        <f t="shared" ref="F141:AD141" si="46">F140-F85</f>
        <v>0</v>
      </c>
      <c r="G141" s="713">
        <f t="shared" si="46"/>
        <v>0</v>
      </c>
      <c r="H141" s="713">
        <f t="shared" si="46"/>
        <v>0</v>
      </c>
      <c r="I141" s="713">
        <f t="shared" si="46"/>
        <v>0</v>
      </c>
      <c r="J141" s="713">
        <f t="shared" si="46"/>
        <v>0</v>
      </c>
      <c r="K141" s="713">
        <f t="shared" si="46"/>
        <v>0</v>
      </c>
      <c r="L141" s="713">
        <f t="shared" si="46"/>
        <v>0</v>
      </c>
      <c r="M141" s="713">
        <f t="shared" si="46"/>
        <v>0</v>
      </c>
      <c r="N141" s="713">
        <f t="shared" si="46"/>
        <v>0</v>
      </c>
      <c r="O141" s="713">
        <f t="shared" si="46"/>
        <v>0</v>
      </c>
      <c r="P141" s="713">
        <f t="shared" si="46"/>
        <v>0</v>
      </c>
      <c r="Q141" s="713">
        <f t="shared" si="46"/>
        <v>0</v>
      </c>
      <c r="R141" s="713">
        <f t="shared" si="46"/>
        <v>0</v>
      </c>
      <c r="S141" s="713">
        <f t="shared" si="46"/>
        <v>0</v>
      </c>
      <c r="T141" s="713">
        <f t="shared" si="46"/>
        <v>0</v>
      </c>
      <c r="U141" s="713">
        <f t="shared" si="46"/>
        <v>0</v>
      </c>
      <c r="V141" s="713">
        <f t="shared" si="46"/>
        <v>0</v>
      </c>
      <c r="W141" s="713">
        <f t="shared" si="46"/>
        <v>0</v>
      </c>
      <c r="X141" s="713">
        <f t="shared" si="46"/>
        <v>0</v>
      </c>
      <c r="Y141" s="713">
        <f>Y140-Y85</f>
        <v>0</v>
      </c>
      <c r="Z141" s="713">
        <f t="shared" si="46"/>
        <v>0</v>
      </c>
      <c r="AA141" s="713">
        <f t="shared" si="46"/>
        <v>0</v>
      </c>
      <c r="AB141" s="713">
        <f t="shared" si="46"/>
        <v>0</v>
      </c>
      <c r="AC141" s="713">
        <f t="shared" si="46"/>
        <v>0</v>
      </c>
      <c r="AD141" s="713">
        <f t="shared" si="46"/>
        <v>0</v>
      </c>
      <c r="AE141" s="713">
        <f>AE140-AE85</f>
        <v>0</v>
      </c>
    </row>
    <row r="142" spans="1:32">
      <c r="A142" s="708"/>
      <c r="E142" s="713">
        <f>E41-E71-E85</f>
        <v>0</v>
      </c>
      <c r="F142" s="713">
        <f t="shared" ref="F142:AD142" si="47">F41-F71-F85</f>
        <v>0</v>
      </c>
      <c r="G142" s="713">
        <f t="shared" si="47"/>
        <v>0</v>
      </c>
      <c r="H142" s="713">
        <f t="shared" si="47"/>
        <v>0</v>
      </c>
      <c r="I142" s="713">
        <f t="shared" si="47"/>
        <v>0</v>
      </c>
      <c r="J142" s="713">
        <f t="shared" si="47"/>
        <v>0</v>
      </c>
      <c r="K142" s="713">
        <f t="shared" si="47"/>
        <v>0</v>
      </c>
      <c r="L142" s="713">
        <f t="shared" si="47"/>
        <v>0</v>
      </c>
      <c r="M142" s="713">
        <f t="shared" si="47"/>
        <v>0</v>
      </c>
      <c r="N142" s="713">
        <f t="shared" si="47"/>
        <v>0</v>
      </c>
      <c r="O142" s="713">
        <f t="shared" si="47"/>
        <v>0</v>
      </c>
      <c r="P142" s="713">
        <f t="shared" si="47"/>
        <v>0</v>
      </c>
      <c r="Q142" s="713">
        <f t="shared" si="47"/>
        <v>0</v>
      </c>
      <c r="R142" s="713">
        <f t="shared" si="47"/>
        <v>0</v>
      </c>
      <c r="S142" s="713">
        <f>S41-S71-S85</f>
        <v>0</v>
      </c>
      <c r="T142" s="713">
        <f t="shared" si="47"/>
        <v>0</v>
      </c>
      <c r="U142" s="713">
        <f t="shared" si="47"/>
        <v>0</v>
      </c>
      <c r="V142" s="713">
        <f t="shared" si="47"/>
        <v>0</v>
      </c>
      <c r="W142" s="713">
        <f t="shared" si="47"/>
        <v>0</v>
      </c>
      <c r="X142" s="713">
        <f t="shared" si="47"/>
        <v>0</v>
      </c>
      <c r="Y142" s="713">
        <f t="shared" si="47"/>
        <v>0</v>
      </c>
      <c r="Z142" s="713">
        <f t="shared" si="47"/>
        <v>0</v>
      </c>
      <c r="AA142" s="713">
        <f t="shared" si="47"/>
        <v>0</v>
      </c>
      <c r="AB142" s="713">
        <f t="shared" si="47"/>
        <v>0</v>
      </c>
      <c r="AC142" s="713">
        <f t="shared" si="47"/>
        <v>0</v>
      </c>
      <c r="AD142" s="713">
        <f t="shared" si="47"/>
        <v>0</v>
      </c>
    </row>
    <row r="143" spans="1:32">
      <c r="A143" s="708"/>
      <c r="C143" s="714"/>
      <c r="D143" s="714"/>
      <c r="E143" s="714"/>
      <c r="F143" s="714"/>
      <c r="G143" s="714"/>
      <c r="H143" s="714"/>
      <c r="I143" s="714"/>
      <c r="J143" s="714"/>
      <c r="K143" s="714"/>
    </row>
    <row r="144" spans="1:32" ht="83.25" hidden="1" customHeight="1">
      <c r="C144" s="715" t="s">
        <v>107</v>
      </c>
      <c r="D144" s="714"/>
      <c r="E144" s="886"/>
      <c r="F144" s="886"/>
      <c r="G144" s="886"/>
      <c r="H144" s="886"/>
      <c r="I144" s="886"/>
      <c r="J144" s="886"/>
      <c r="K144" s="886"/>
    </row>
    <row r="145" spans="1:31" s="662" customFormat="1" ht="113.45" customHeight="1">
      <c r="A145" s="716"/>
      <c r="C145" s="717" t="s">
        <v>494</v>
      </c>
      <c r="D145" s="718"/>
      <c r="E145" s="888" t="s">
        <v>3553</v>
      </c>
      <c r="F145" s="888"/>
      <c r="G145" s="888"/>
      <c r="H145" s="888"/>
      <c r="I145" s="888"/>
      <c r="J145" s="888"/>
      <c r="K145" s="888"/>
    </row>
    <row r="146" spans="1:31" s="662" customFormat="1" ht="30">
      <c r="A146" s="716"/>
      <c r="C146" s="717" t="s">
        <v>753</v>
      </c>
      <c r="D146" s="718"/>
      <c r="E146" s="885" t="s">
        <v>47</v>
      </c>
      <c r="F146" s="885"/>
      <c r="G146" s="885"/>
      <c r="H146" s="885"/>
      <c r="I146" s="885"/>
      <c r="J146" s="885"/>
      <c r="K146" s="885"/>
    </row>
    <row r="147" spans="1:31" s="662" customFormat="1">
      <c r="A147" s="716"/>
      <c r="C147" s="717" t="s">
        <v>267</v>
      </c>
      <c r="D147" s="718"/>
      <c r="E147" s="885" t="s">
        <v>47</v>
      </c>
      <c r="F147" s="885"/>
      <c r="G147" s="885"/>
      <c r="H147" s="885"/>
      <c r="I147" s="885"/>
      <c r="J147" s="885"/>
      <c r="K147" s="885"/>
    </row>
    <row r="148" spans="1:31" s="662" customFormat="1" ht="14.25" customHeight="1">
      <c r="A148" s="716"/>
      <c r="C148" s="717" t="s">
        <v>268</v>
      </c>
      <c r="D148" s="718"/>
      <c r="E148" s="885" t="s">
        <v>47</v>
      </c>
      <c r="F148" s="885"/>
      <c r="G148" s="885"/>
      <c r="H148" s="885"/>
      <c r="I148" s="885"/>
      <c r="J148" s="885"/>
      <c r="K148" s="885"/>
    </row>
    <row r="149" spans="1:31" s="662" customFormat="1" ht="63" hidden="1" customHeight="1">
      <c r="A149" s="716"/>
      <c r="C149" s="717" t="s">
        <v>120</v>
      </c>
      <c r="D149" s="718"/>
      <c r="E149" s="885" t="s">
        <v>47</v>
      </c>
      <c r="F149" s="885"/>
      <c r="G149" s="885"/>
      <c r="H149" s="885"/>
      <c r="I149" s="885"/>
      <c r="J149" s="885"/>
      <c r="K149" s="885"/>
      <c r="L149" s="719"/>
      <c r="M149" s="719"/>
      <c r="N149" s="719"/>
      <c r="O149" s="719"/>
      <c r="P149" s="719"/>
      <c r="Q149" s="719"/>
      <c r="R149" s="719"/>
      <c r="S149" s="719"/>
      <c r="T149" s="719"/>
      <c r="U149" s="719"/>
      <c r="V149" s="719"/>
      <c r="W149" s="719"/>
      <c r="X149" s="719"/>
      <c r="Y149" s="719"/>
      <c r="Z149" s="719"/>
      <c r="AA149" s="719"/>
      <c r="AB149" s="719"/>
      <c r="AC149" s="719"/>
      <c r="AD149" s="719"/>
      <c r="AE149" s="719"/>
    </row>
    <row r="150" spans="1:31" s="662" customFormat="1" ht="30">
      <c r="A150" s="716"/>
      <c r="C150" s="717" t="s">
        <v>2556</v>
      </c>
      <c r="D150" s="718"/>
      <c r="E150" s="885" t="s">
        <v>47</v>
      </c>
      <c r="F150" s="885"/>
      <c r="G150" s="885"/>
      <c r="H150" s="885"/>
      <c r="I150" s="885"/>
      <c r="J150" s="885"/>
      <c r="K150" s="885"/>
      <c r="L150" s="719"/>
      <c r="M150" s="719"/>
      <c r="N150" s="719"/>
      <c r="O150" s="719"/>
      <c r="P150" s="719"/>
      <c r="Q150" s="719"/>
      <c r="R150" s="719"/>
      <c r="S150" s="719"/>
      <c r="T150" s="719"/>
      <c r="U150" s="719"/>
      <c r="V150" s="719"/>
      <c r="W150" s="719"/>
      <c r="X150" s="719"/>
      <c r="Y150" s="719"/>
      <c r="Z150" s="719"/>
      <c r="AA150" s="719"/>
      <c r="AB150" s="719"/>
      <c r="AC150" s="719"/>
      <c r="AD150" s="719"/>
      <c r="AE150" s="719"/>
    </row>
    <row r="151" spans="1:31" s="662" customFormat="1" ht="30">
      <c r="A151" s="716"/>
      <c r="C151" s="717" t="s">
        <v>521</v>
      </c>
      <c r="D151" s="718"/>
      <c r="E151" s="889" t="s">
        <v>47</v>
      </c>
      <c r="F151" s="889"/>
      <c r="G151" s="889"/>
      <c r="H151" s="889"/>
      <c r="I151" s="889"/>
      <c r="J151" s="889"/>
      <c r="K151" s="889"/>
    </row>
    <row r="152" spans="1:31" s="662" customFormat="1">
      <c r="C152" s="717" t="s">
        <v>493</v>
      </c>
      <c r="D152" s="718"/>
      <c r="E152" s="885" t="s">
        <v>47</v>
      </c>
      <c r="F152" s="885"/>
      <c r="G152" s="885"/>
      <c r="H152" s="885"/>
      <c r="I152" s="885"/>
      <c r="J152" s="885"/>
      <c r="K152" s="885"/>
    </row>
    <row r="153" spans="1:31" s="662" customFormat="1">
      <c r="C153" s="717" t="s">
        <v>495</v>
      </c>
      <c r="D153" s="718"/>
      <c r="E153" s="885" t="s">
        <v>47</v>
      </c>
      <c r="F153" s="885"/>
      <c r="G153" s="885"/>
      <c r="H153" s="885"/>
      <c r="I153" s="885"/>
      <c r="J153" s="885"/>
      <c r="K153" s="885"/>
    </row>
    <row r="154" spans="1:31" s="662" customFormat="1">
      <c r="C154" s="717" t="s">
        <v>498</v>
      </c>
      <c r="D154" s="718"/>
      <c r="E154" s="889" t="s">
        <v>47</v>
      </c>
      <c r="F154" s="889"/>
      <c r="G154" s="889"/>
      <c r="H154" s="889"/>
      <c r="I154" s="889"/>
      <c r="J154" s="889"/>
      <c r="K154" s="889"/>
    </row>
    <row r="155" spans="1:31" s="662" customFormat="1">
      <c r="C155" s="717" t="s">
        <v>499</v>
      </c>
      <c r="D155" s="718"/>
      <c r="E155" s="889" t="s">
        <v>47</v>
      </c>
      <c r="F155" s="889"/>
      <c r="G155" s="889"/>
      <c r="H155" s="889"/>
      <c r="I155" s="889"/>
      <c r="J155" s="889"/>
      <c r="K155" s="889"/>
    </row>
    <row r="156" spans="1:31" s="662" customFormat="1">
      <c r="C156" s="717" t="s">
        <v>319</v>
      </c>
      <c r="D156" s="718"/>
      <c r="E156" s="885" t="s">
        <v>47</v>
      </c>
      <c r="F156" s="885"/>
      <c r="G156" s="885"/>
      <c r="H156" s="885"/>
      <c r="I156" s="885"/>
      <c r="J156" s="885"/>
      <c r="K156" s="885"/>
    </row>
    <row r="157" spans="1:31" s="662" customFormat="1" ht="30">
      <c r="C157" s="717" t="s">
        <v>496</v>
      </c>
      <c r="D157" s="718"/>
      <c r="E157" s="885" t="s">
        <v>47</v>
      </c>
      <c r="F157" s="885"/>
      <c r="G157" s="885"/>
      <c r="H157" s="885"/>
      <c r="I157" s="885"/>
      <c r="J157" s="885"/>
      <c r="K157" s="885"/>
    </row>
    <row r="158" spans="1:31" s="662" customFormat="1" ht="15.75" customHeight="1">
      <c r="C158" s="717" t="s">
        <v>2560</v>
      </c>
      <c r="D158" s="718"/>
      <c r="E158" s="885" t="s">
        <v>47</v>
      </c>
      <c r="F158" s="885"/>
      <c r="G158" s="885"/>
      <c r="H158" s="885"/>
      <c r="I158" s="885"/>
      <c r="J158" s="885"/>
      <c r="K158" s="885"/>
    </row>
    <row r="159" spans="1:31" s="662" customFormat="1" ht="30">
      <c r="C159" s="717" t="s">
        <v>109</v>
      </c>
      <c r="D159" s="718"/>
      <c r="E159" s="885" t="s">
        <v>47</v>
      </c>
      <c r="F159" s="885"/>
      <c r="G159" s="885"/>
      <c r="H159" s="885"/>
      <c r="I159" s="885"/>
      <c r="J159" s="885"/>
      <c r="K159" s="885"/>
    </row>
    <row r="160" spans="1:31" s="662" customFormat="1" ht="30">
      <c r="C160" s="717" t="s">
        <v>59</v>
      </c>
      <c r="D160" s="718"/>
      <c r="E160" s="885" t="s">
        <v>47</v>
      </c>
      <c r="F160" s="885"/>
      <c r="G160" s="885"/>
      <c r="H160" s="885"/>
      <c r="I160" s="885"/>
      <c r="J160" s="885"/>
      <c r="K160" s="885"/>
    </row>
    <row r="161" spans="3:13" s="662" customFormat="1">
      <c r="C161" s="717" t="s">
        <v>497</v>
      </c>
      <c r="D161" s="718"/>
      <c r="E161" s="885" t="s">
        <v>47</v>
      </c>
      <c r="F161" s="885"/>
      <c r="G161" s="885"/>
      <c r="H161" s="885"/>
      <c r="I161" s="885"/>
      <c r="J161" s="885"/>
      <c r="K161" s="885"/>
    </row>
    <row r="162" spans="3:13" s="662" customFormat="1" ht="15.75" customHeight="1">
      <c r="C162" s="717" t="s">
        <v>320</v>
      </c>
      <c r="D162" s="718"/>
      <c r="E162" s="885" t="s">
        <v>47</v>
      </c>
      <c r="F162" s="885"/>
      <c r="G162" s="885"/>
      <c r="H162" s="885"/>
      <c r="I162" s="885"/>
      <c r="J162" s="885"/>
      <c r="K162" s="885"/>
    </row>
    <row r="163" spans="3:13" s="662" customFormat="1" ht="15.75" customHeight="1">
      <c r="C163" s="717" t="s">
        <v>254</v>
      </c>
      <c r="D163" s="718"/>
      <c r="E163" s="885" t="s">
        <v>47</v>
      </c>
      <c r="F163" s="885"/>
      <c r="G163" s="885"/>
      <c r="H163" s="885"/>
      <c r="I163" s="885"/>
      <c r="J163" s="885"/>
      <c r="K163" s="885"/>
    </row>
    <row r="164" spans="3:13" s="662" customFormat="1" ht="30">
      <c r="C164" s="717" t="s">
        <v>2887</v>
      </c>
      <c r="D164" s="718"/>
      <c r="E164" s="885" t="s">
        <v>47</v>
      </c>
      <c r="F164" s="885"/>
      <c r="G164" s="885"/>
      <c r="H164" s="885"/>
      <c r="I164" s="885"/>
      <c r="J164" s="885"/>
      <c r="K164" s="885"/>
    </row>
    <row r="165" spans="3:13" s="662" customFormat="1" ht="24.6" customHeight="1">
      <c r="C165" s="717" t="s">
        <v>2886</v>
      </c>
      <c r="D165" s="718"/>
      <c r="E165" s="885" t="s">
        <v>47</v>
      </c>
      <c r="F165" s="885"/>
      <c r="G165" s="885"/>
      <c r="H165" s="885"/>
      <c r="I165" s="885"/>
      <c r="J165" s="885"/>
      <c r="K165" s="885"/>
    </row>
    <row r="166" spans="3:13" s="662" customFormat="1">
      <c r="C166" s="717" t="s">
        <v>3099</v>
      </c>
      <c r="D166" s="718"/>
      <c r="E166" s="885" t="s">
        <v>47</v>
      </c>
      <c r="F166" s="885"/>
      <c r="G166" s="885"/>
      <c r="H166" s="885"/>
      <c r="I166" s="885"/>
      <c r="J166" s="885"/>
      <c r="K166" s="885"/>
    </row>
    <row r="167" spans="3:13" s="662" customFormat="1" ht="30">
      <c r="C167" s="717" t="s">
        <v>2888</v>
      </c>
      <c r="D167" s="718"/>
      <c r="E167" s="885" t="s">
        <v>47</v>
      </c>
      <c r="F167" s="885"/>
      <c r="G167" s="885"/>
      <c r="H167" s="885"/>
      <c r="I167" s="885"/>
      <c r="J167" s="885"/>
      <c r="K167" s="885"/>
    </row>
    <row r="168" spans="3:13">
      <c r="C168" s="714"/>
      <c r="E168" s="884"/>
      <c r="F168" s="884"/>
      <c r="G168" s="884"/>
      <c r="H168" s="884"/>
      <c r="I168" s="884"/>
      <c r="J168" s="884"/>
      <c r="K168" s="884"/>
    </row>
    <row r="169" spans="3:13">
      <c r="C169" s="714"/>
      <c r="E169" s="884"/>
      <c r="F169" s="884"/>
      <c r="G169" s="884"/>
      <c r="H169" s="884"/>
      <c r="I169" s="884"/>
      <c r="J169" s="884"/>
      <c r="K169" s="884"/>
    </row>
    <row r="170" spans="3:13">
      <c r="C170" s="714"/>
      <c r="M170" s="720"/>
    </row>
    <row r="171" spans="3:13">
      <c r="C171" s="714"/>
      <c r="M171" s="720"/>
    </row>
    <row r="172" spans="3:13">
      <c r="C172" s="714"/>
      <c r="M172" s="720"/>
    </row>
    <row r="173" spans="3:13">
      <c r="M173" s="720"/>
    </row>
  </sheetData>
  <customSheetViews>
    <customSheetView guid="{354F272F-821B-473B-9CC5-4001AD879606}" fitToPage="1" hiddenRows="1" hiddenColumns="1" topLeftCell="B1">
      <pane xSplit="2" ySplit="1" topLeftCell="D149" activePane="bottomRight" state="frozen"/>
      <selection pane="bottomRight" activeCell="E160" sqref="E160:K160"/>
      <rowBreaks count="3" manualBreakCount="3">
        <brk id="40" max="16383" man="1"/>
        <brk id="90" max="16383" man="1"/>
        <brk id="140" max="16383" man="1"/>
      </rowBreaks>
      <pageMargins left="0.17" right="0.16" top="0.75" bottom="0.64" header="0.5" footer="0.5"/>
      <pageSetup paperSize="5" scale="47" fitToHeight="3" orientation="landscape" r:id="rId1"/>
      <headerFooter alignWithMargins="0">
        <oddFooter>&amp;L&amp;Z&amp;F\ &amp;A&amp;R&amp;P</oddFooter>
      </headerFooter>
    </customSheetView>
  </customSheetViews>
  <mergeCells count="27">
    <mergeCell ref="E163:K163"/>
    <mergeCell ref="E161:K161"/>
    <mergeCell ref="E162:K162"/>
    <mergeCell ref="E144:K144"/>
    <mergeCell ref="A1:C1"/>
    <mergeCell ref="E145:K145"/>
    <mergeCell ref="E146:K146"/>
    <mergeCell ref="E156:K156"/>
    <mergeCell ref="E149:K149"/>
    <mergeCell ref="E151:K151"/>
    <mergeCell ref="E152:K152"/>
    <mergeCell ref="E153:K153"/>
    <mergeCell ref="E154:K154"/>
    <mergeCell ref="E155:K155"/>
    <mergeCell ref="E150:K150"/>
    <mergeCell ref="E159:K159"/>
    <mergeCell ref="E160:K160"/>
    <mergeCell ref="E158:K158"/>
    <mergeCell ref="E147:K147"/>
    <mergeCell ref="E148:K148"/>
    <mergeCell ref="E157:K157"/>
    <mergeCell ref="E169:K169"/>
    <mergeCell ref="E164:K164"/>
    <mergeCell ref="E165:K165"/>
    <mergeCell ref="E166:K166"/>
    <mergeCell ref="E167:K167"/>
    <mergeCell ref="E168:K168"/>
  </mergeCells>
  <phoneticPr fontId="40" type="noConversion"/>
  <pageMargins left="0.5" right="0" top="0.5" bottom="0.25" header="0.3" footer="0.3"/>
  <pageSetup scale="26" fitToHeight="0" orientation="landscape" r:id="rId2"/>
  <headerFooter alignWithMargins="0">
    <oddFooter>&amp;L&amp;Z&amp;F\ &amp;A&amp;R&amp;P</oddFooter>
  </headerFooter>
  <rowBreaks count="3" manualBreakCount="3">
    <brk id="41" max="16383" man="1"/>
    <brk id="91" max="16383" man="1"/>
    <brk id="14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16"/>
  <sheetViews>
    <sheetView tabSelected="1" zoomScaleNormal="100" workbookViewId="0">
      <selection activeCell="E1" sqref="E1:G1"/>
    </sheetView>
  </sheetViews>
  <sheetFormatPr defaultColWidth="7.5703125" defaultRowHeight="12.75"/>
  <cols>
    <col min="1" max="3" width="1.85546875" style="185" customWidth="1"/>
    <col min="4" max="4" width="49.7109375" style="185" customWidth="1"/>
    <col min="5" max="5" width="41.5703125" style="185" customWidth="1"/>
    <col min="6" max="6" width="2" style="191" customWidth="1"/>
    <col min="7" max="7" width="25.28515625" style="185" customWidth="1"/>
    <col min="8" max="8" width="1.5703125" style="185" customWidth="1"/>
    <col min="9" max="9" width="19.140625" style="185" hidden="1" customWidth="1"/>
    <col min="10" max="10" width="1.5703125" style="185" hidden="1" customWidth="1"/>
    <col min="11" max="11" width="19.140625" style="185" hidden="1" customWidth="1"/>
    <col min="12" max="12" width="1.5703125" style="185" customWidth="1"/>
    <col min="13" max="13" width="24.85546875" style="185" customWidth="1"/>
    <col min="14" max="14" width="1.5703125" style="185" customWidth="1"/>
    <col min="15" max="15" width="23.42578125" style="185" customWidth="1"/>
    <col min="16" max="16" width="1.5703125" style="185" hidden="1" customWidth="1"/>
    <col min="17" max="17" width="18.7109375" style="185" hidden="1" customWidth="1"/>
    <col min="18" max="18" width="1.5703125" style="185" hidden="1" customWidth="1"/>
    <col min="19" max="19" width="18.28515625" style="185" hidden="1" customWidth="1"/>
    <col min="20" max="20" width="1" style="191" customWidth="1"/>
    <col min="21" max="21" width="25" style="186" customWidth="1"/>
    <col min="22" max="16384" width="7.5703125" style="185"/>
  </cols>
  <sheetData>
    <row r="1" spans="1:26" ht="12.75" customHeight="1">
      <c r="A1" s="913" t="s">
        <v>399</v>
      </c>
      <c r="B1" s="912"/>
      <c r="C1" s="912"/>
      <c r="D1" s="912"/>
      <c r="E1" s="893"/>
      <c r="F1" s="894"/>
      <c r="G1" s="895"/>
      <c r="I1" s="191"/>
      <c r="K1" s="191"/>
    </row>
    <row r="2" spans="1:26" ht="31.5" customHeight="1">
      <c r="A2" s="911" t="s">
        <v>362</v>
      </c>
      <c r="B2" s="912"/>
      <c r="C2" s="912"/>
      <c r="D2" s="912"/>
      <c r="E2" s="908" t="str">
        <f>IF(ISNA(VLOOKUP(E1,'ALL AGENCY TABLE'!A:C,3,FALSE)),"",(VLOOKUP(E1,'ALL AGENCY TABLE'!A:C,3,FALSE)))</f>
        <v/>
      </c>
      <c r="F2" s="909"/>
      <c r="G2" s="910"/>
      <c r="I2" s="187"/>
      <c r="K2" s="187"/>
    </row>
    <row r="3" spans="1:26" ht="12.75" customHeight="1">
      <c r="A3" s="911" t="s">
        <v>419</v>
      </c>
      <c r="B3" s="912"/>
      <c r="C3" s="912"/>
      <c r="D3" s="912"/>
      <c r="E3" s="890"/>
      <c r="F3" s="891"/>
      <c r="G3" s="892"/>
      <c r="I3" s="191"/>
      <c r="K3" s="191"/>
    </row>
    <row r="4" spans="1:26" ht="12.75" customHeight="1">
      <c r="A4" s="911" t="s">
        <v>420</v>
      </c>
      <c r="B4" s="912"/>
      <c r="C4" s="912"/>
      <c r="D4" s="912"/>
      <c r="E4" s="905"/>
      <c r="F4" s="906"/>
      <c r="G4" s="907"/>
      <c r="I4" s="191"/>
      <c r="K4" s="191"/>
    </row>
    <row r="5" spans="1:26" ht="12.75" customHeight="1">
      <c r="A5" s="911" t="s">
        <v>421</v>
      </c>
      <c r="B5" s="912"/>
      <c r="C5" s="912"/>
      <c r="D5" s="912"/>
      <c r="E5" s="902"/>
      <c r="F5" s="903"/>
      <c r="G5" s="904"/>
      <c r="H5" s="869"/>
      <c r="I5" s="191"/>
      <c r="K5" s="191"/>
    </row>
    <row r="6" spans="1:26" ht="12.75" customHeight="1">
      <c r="A6" s="911" t="s">
        <v>418</v>
      </c>
      <c r="B6" s="912"/>
      <c r="C6" s="912"/>
      <c r="D6" s="912"/>
      <c r="E6" s="920"/>
      <c r="F6" s="921"/>
      <c r="G6" s="922"/>
      <c r="I6" s="870"/>
      <c r="K6" s="870"/>
    </row>
    <row r="7" spans="1:26" ht="12.75" customHeight="1">
      <c r="A7" s="188"/>
      <c r="E7" s="188"/>
      <c r="F7" s="189"/>
      <c r="G7" s="189"/>
      <c r="T7" s="185"/>
    </row>
    <row r="8" spans="1:26" ht="12.75" customHeight="1">
      <c r="A8" s="911" t="s">
        <v>491</v>
      </c>
      <c r="B8" s="912"/>
      <c r="C8" s="912"/>
      <c r="D8" s="912"/>
      <c r="E8" s="899"/>
      <c r="F8" s="900"/>
      <c r="G8" s="901"/>
      <c r="I8" s="191"/>
      <c r="K8" s="191"/>
    </row>
    <row r="9" spans="1:26" ht="12.75" customHeight="1">
      <c r="A9" s="188"/>
      <c r="E9" s="187"/>
      <c r="F9" s="185"/>
    </row>
    <row r="10" spans="1:26">
      <c r="A10" s="188" t="s">
        <v>280</v>
      </c>
      <c r="B10" s="191"/>
      <c r="C10" s="191"/>
      <c r="D10" s="191"/>
      <c r="E10" s="190"/>
      <c r="G10" s="191"/>
      <c r="P10" s="191"/>
      <c r="Q10" s="191"/>
      <c r="R10" s="871"/>
      <c r="T10" s="185"/>
      <c r="U10" s="185"/>
      <c r="X10" s="191"/>
      <c r="Y10" s="191"/>
      <c r="Z10" s="191"/>
    </row>
    <row r="11" spans="1:26" ht="207" customHeight="1">
      <c r="A11" s="914" t="str">
        <f>IF(ISNA(VLOOKUP(E8,Hlookup!C145:K169,3,FALSE)),"",VLOOKUP(E8,Hlookup!C145:K169,3,FALSE))</f>
        <v/>
      </c>
      <c r="B11" s="915"/>
      <c r="C11" s="915"/>
      <c r="D11" s="915"/>
      <c r="E11" s="915"/>
      <c r="F11" s="915"/>
      <c r="G11" s="915"/>
      <c r="H11" s="916"/>
      <c r="P11" s="191"/>
      <c r="Q11" s="191"/>
      <c r="R11" s="871"/>
      <c r="T11" s="185"/>
      <c r="U11" s="185"/>
      <c r="X11" s="191"/>
      <c r="Y11" s="191"/>
      <c r="Z11" s="191"/>
    </row>
    <row r="12" spans="1:26" ht="12.75" customHeight="1">
      <c r="A12" s="188"/>
      <c r="E12" s="187"/>
      <c r="F12" s="185"/>
    </row>
    <row r="13" spans="1:26" ht="12.75" customHeight="1">
      <c r="A13" s="188" t="s">
        <v>415</v>
      </c>
      <c r="F13" s="185"/>
    </row>
    <row r="14" spans="1:26" ht="12.75" customHeight="1">
      <c r="A14" s="192" t="s">
        <v>3440</v>
      </c>
      <c r="F14" s="185"/>
    </row>
    <row r="15" spans="1:26" ht="12.75" customHeight="1">
      <c r="F15" s="185"/>
    </row>
    <row r="16" spans="1:26" ht="26.25" customHeight="1" thickBot="1">
      <c r="A16" s="193"/>
      <c r="E16" s="194" t="s">
        <v>282</v>
      </c>
      <c r="F16" s="185"/>
      <c r="G16" s="195" t="s">
        <v>422</v>
      </c>
      <c r="H16" s="196"/>
      <c r="I16" s="195" t="s">
        <v>57</v>
      </c>
      <c r="J16" s="196"/>
      <c r="K16" s="195" t="s">
        <v>56</v>
      </c>
      <c r="L16" s="196"/>
      <c r="M16" s="195" t="s">
        <v>131</v>
      </c>
      <c r="N16" s="196"/>
      <c r="O16" s="195" t="s">
        <v>423</v>
      </c>
      <c r="P16" s="196"/>
      <c r="Q16" s="195" t="s">
        <v>58</v>
      </c>
      <c r="R16" s="196"/>
      <c r="S16" s="195" t="s">
        <v>60</v>
      </c>
      <c r="U16" s="195" t="s">
        <v>104</v>
      </c>
    </row>
    <row r="17" spans="1:21" ht="12.75" customHeight="1">
      <c r="A17" s="189" t="s">
        <v>644</v>
      </c>
      <c r="F17" s="185"/>
      <c r="G17" s="872"/>
      <c r="H17" s="872"/>
      <c r="I17" s="872"/>
      <c r="J17" s="872"/>
      <c r="K17" s="872"/>
      <c r="L17" s="872"/>
      <c r="U17" s="308"/>
    </row>
    <row r="18" spans="1:21" ht="12.75" customHeight="1">
      <c r="A18" s="189" t="s">
        <v>363</v>
      </c>
      <c r="F18" s="185"/>
    </row>
    <row r="19" spans="1:21" ht="12.75" customHeight="1">
      <c r="B19" s="185" t="s">
        <v>457</v>
      </c>
      <c r="F19" s="185"/>
      <c r="G19" s="234"/>
      <c r="H19" s="197"/>
      <c r="I19" s="198"/>
      <c r="J19" s="197"/>
      <c r="K19" s="198">
        <f>G19+I19</f>
        <v>0</v>
      </c>
      <c r="L19" s="197"/>
      <c r="M19" s="234"/>
      <c r="N19" s="199"/>
      <c r="O19" s="200">
        <f>SUM(K19,M19)</f>
        <v>0</v>
      </c>
      <c r="P19" s="199"/>
      <c r="Q19" s="201"/>
      <c r="R19" s="199"/>
      <c r="S19" s="201">
        <f>SUM(O19,Q19)</f>
        <v>0</v>
      </c>
      <c r="U19" s="202" t="s">
        <v>53</v>
      </c>
    </row>
    <row r="20" spans="1:21" ht="12.75" customHeight="1">
      <c r="B20" s="185" t="s">
        <v>346</v>
      </c>
      <c r="F20" s="185"/>
      <c r="G20" s="234"/>
      <c r="H20" s="197"/>
      <c r="I20" s="198"/>
      <c r="J20" s="197"/>
      <c r="K20" s="198">
        <f t="shared" ref="K20:K23" si="0">G20+I20</f>
        <v>0</v>
      </c>
      <c r="L20" s="197"/>
      <c r="M20" s="234"/>
      <c r="N20" s="199"/>
      <c r="O20" s="200">
        <f>SUM(K20,M20)</f>
        <v>0</v>
      </c>
      <c r="P20" s="199"/>
      <c r="Q20" s="201"/>
      <c r="R20" s="199"/>
      <c r="S20" s="201">
        <f>SUM(O20,Q20)</f>
        <v>0</v>
      </c>
      <c r="U20" s="202" t="s">
        <v>228</v>
      </c>
    </row>
    <row r="21" spans="1:21" ht="12.75" customHeight="1">
      <c r="B21" s="185" t="s">
        <v>133</v>
      </c>
      <c r="F21" s="185"/>
      <c r="G21" s="234"/>
      <c r="H21" s="197"/>
      <c r="I21" s="198"/>
      <c r="J21" s="197"/>
      <c r="K21" s="198">
        <f t="shared" si="0"/>
        <v>0</v>
      </c>
      <c r="L21" s="197"/>
      <c r="M21" s="234"/>
      <c r="N21" s="199"/>
      <c r="O21" s="200">
        <f>SUM(K21,M21)</f>
        <v>0</v>
      </c>
      <c r="P21" s="199"/>
      <c r="Q21" s="201"/>
      <c r="R21" s="199"/>
      <c r="S21" s="201">
        <f>SUM(O21,Q21)</f>
        <v>0</v>
      </c>
      <c r="U21" s="202" t="s">
        <v>279</v>
      </c>
    </row>
    <row r="22" spans="1:21" ht="12.75" customHeight="1">
      <c r="B22" s="185" t="s">
        <v>277</v>
      </c>
      <c r="F22" s="185"/>
      <c r="G22" s="234"/>
      <c r="H22" s="197"/>
      <c r="I22" s="198"/>
      <c r="J22" s="197"/>
      <c r="K22" s="198">
        <f t="shared" si="0"/>
        <v>0</v>
      </c>
      <c r="L22" s="197"/>
      <c r="M22" s="234"/>
      <c r="N22" s="199"/>
      <c r="O22" s="200">
        <f>SUM(K22,M22)</f>
        <v>0</v>
      </c>
      <c r="P22" s="199"/>
      <c r="Q22" s="201"/>
      <c r="R22" s="199"/>
      <c r="S22" s="201">
        <f>SUM(O22,Q22)</f>
        <v>0</v>
      </c>
      <c r="U22" s="202" t="s">
        <v>278</v>
      </c>
    </row>
    <row r="23" spans="1:21" ht="12.75" customHeight="1">
      <c r="B23" s="185" t="s">
        <v>360</v>
      </c>
      <c r="F23" s="185"/>
      <c r="G23" s="234"/>
      <c r="H23" s="197"/>
      <c r="I23" s="198"/>
      <c r="J23" s="197"/>
      <c r="K23" s="198">
        <f t="shared" si="0"/>
        <v>0</v>
      </c>
      <c r="L23" s="197"/>
      <c r="M23" s="234"/>
      <c r="N23" s="199"/>
      <c r="O23" s="200">
        <f>SUM(K23,M23)</f>
        <v>0</v>
      </c>
      <c r="P23" s="199"/>
      <c r="Q23" s="201"/>
      <c r="R23" s="199"/>
      <c r="S23" s="201">
        <f>SUM(O23,Q23)</f>
        <v>0</v>
      </c>
      <c r="U23" s="202" t="s">
        <v>3590</v>
      </c>
    </row>
    <row r="24" spans="1:21" ht="12.75" customHeight="1">
      <c r="C24" s="203" t="s">
        <v>364</v>
      </c>
      <c r="F24" s="185"/>
      <c r="G24" s="201">
        <f>SUM(G19:G23)</f>
        <v>0</v>
      </c>
      <c r="H24" s="199"/>
      <c r="I24" s="201">
        <f>SUM(I19:I23)</f>
        <v>0</v>
      </c>
      <c r="J24" s="199"/>
      <c r="K24" s="201">
        <f>IF(SUM(G24,I24)=SUM(K19:K23),SUM(K19:K23),"ERROR")</f>
        <v>0</v>
      </c>
      <c r="L24" s="199"/>
      <c r="M24" s="201">
        <f>SUM(M19:M23)</f>
        <v>0</v>
      </c>
      <c r="N24" s="199"/>
      <c r="O24" s="200">
        <f>IF(SUM(K24,M24)=SUM(O19:O23),SUM(O19:O23),"ERROR")</f>
        <v>0</v>
      </c>
      <c r="P24" s="199"/>
      <c r="Q24" s="201">
        <f>SUM(Q19:Q23)</f>
        <v>0</v>
      </c>
      <c r="R24" s="199"/>
      <c r="S24" s="201">
        <f>IF(SUM(O24,Q24)=SUM(S19:S23),SUM(S19:S23),"ERROR")</f>
        <v>0</v>
      </c>
      <c r="U24" s="202" t="s">
        <v>227</v>
      </c>
    </row>
    <row r="25" spans="1:21" ht="12.75" customHeight="1">
      <c r="F25" s="185"/>
      <c r="G25" s="199"/>
      <c r="H25" s="199"/>
      <c r="I25" s="199"/>
      <c r="J25" s="199"/>
      <c r="K25" s="199"/>
      <c r="L25" s="199"/>
      <c r="M25" s="204"/>
      <c r="N25" s="199"/>
      <c r="O25" s="204"/>
      <c r="P25" s="199"/>
      <c r="Q25" s="204"/>
      <c r="R25" s="199"/>
      <c r="S25" s="204"/>
      <c r="U25" s="202"/>
    </row>
    <row r="26" spans="1:21" ht="12.75" customHeight="1">
      <c r="B26" s="185" t="s">
        <v>443</v>
      </c>
      <c r="F26" s="185"/>
      <c r="G26" s="234"/>
      <c r="H26" s="197"/>
      <c r="I26" s="198"/>
      <c r="J26" s="197"/>
      <c r="K26" s="198">
        <f t="shared" ref="K26:K27" si="1">G26+I26</f>
        <v>0</v>
      </c>
      <c r="L26" s="197"/>
      <c r="M26" s="234"/>
      <c r="N26" s="199"/>
      <c r="O26" s="200">
        <f>SUM(K26,M26)</f>
        <v>0</v>
      </c>
      <c r="P26" s="199"/>
      <c r="Q26" s="201"/>
      <c r="R26" s="199"/>
      <c r="S26" s="201">
        <f>SUM(O26,Q26)</f>
        <v>0</v>
      </c>
      <c r="U26" s="202" t="s">
        <v>3439</v>
      </c>
    </row>
    <row r="27" spans="1:21" ht="12.75" customHeight="1">
      <c r="B27" s="185" t="s">
        <v>361</v>
      </c>
      <c r="F27" s="185"/>
      <c r="G27" s="234"/>
      <c r="H27" s="197"/>
      <c r="I27" s="198"/>
      <c r="J27" s="197"/>
      <c r="K27" s="198">
        <f t="shared" si="1"/>
        <v>0</v>
      </c>
      <c r="L27" s="197"/>
      <c r="M27" s="234"/>
      <c r="N27" s="199"/>
      <c r="O27" s="205">
        <f>SUM(K27,M27)</f>
        <v>0</v>
      </c>
      <c r="P27" s="199"/>
      <c r="Q27" s="201"/>
      <c r="R27" s="199"/>
      <c r="S27" s="201">
        <f>SUM(O27,Q27)</f>
        <v>0</v>
      </c>
      <c r="U27" s="202" t="s">
        <v>3590</v>
      </c>
    </row>
    <row r="28" spans="1:21" ht="12.75" customHeight="1">
      <c r="C28" s="203" t="s">
        <v>366</v>
      </c>
      <c r="F28" s="185"/>
      <c r="G28" s="200">
        <f>SUM(G26:G27)</f>
        <v>0</v>
      </c>
      <c r="H28" s="199"/>
      <c r="I28" s="201">
        <f>SUM(I26:I27)</f>
        <v>0</v>
      </c>
      <c r="J28" s="199"/>
      <c r="K28" s="201">
        <f>IF(SUM(G28,I28)=SUM(K26:K27),SUM(K26:K27),"ERROR")</f>
        <v>0</v>
      </c>
      <c r="L28" s="199"/>
      <c r="M28" s="200">
        <f>SUM(M26:M27)</f>
        <v>0</v>
      </c>
      <c r="N28" s="199"/>
      <c r="O28" s="200">
        <f>IF(SUM(K28,M28)=SUM(O26:O27),SUM(O26:O27),"ERROR")</f>
        <v>0</v>
      </c>
      <c r="P28" s="199"/>
      <c r="Q28" s="201">
        <f>SUM(Q26:Q27)</f>
        <v>0</v>
      </c>
      <c r="R28" s="199"/>
      <c r="S28" s="201">
        <f>IF(SUM(O28,Q28)=SUM(S26:S27),SUM(S26:S27),"ERROR")</f>
        <v>0</v>
      </c>
      <c r="U28" s="202" t="s">
        <v>227</v>
      </c>
    </row>
    <row r="29" spans="1:21" ht="12.75" customHeight="1">
      <c r="C29" s="203"/>
      <c r="F29" s="185"/>
      <c r="G29" s="212"/>
      <c r="H29" s="199"/>
      <c r="I29" s="199"/>
      <c r="J29" s="199"/>
      <c r="K29" s="198">
        <f t="shared" ref="K29:K30" si="2">G29+I29</f>
        <v>0</v>
      </c>
      <c r="L29" s="199"/>
      <c r="M29" s="212"/>
      <c r="N29" s="199"/>
      <c r="O29" s="212"/>
      <c r="P29" s="199"/>
      <c r="Q29" s="199"/>
      <c r="R29" s="199"/>
      <c r="S29" s="199"/>
    </row>
    <row r="30" spans="1:21">
      <c r="B30" s="185" t="s">
        <v>2896</v>
      </c>
      <c r="C30" s="874"/>
      <c r="D30" s="3"/>
      <c r="E30" s="882" t="str">
        <f>IF(OR(G30&lt;&gt;0,M30&lt;&gt;0),"Answer Required","N/A")</f>
        <v>N/A</v>
      </c>
      <c r="F30" s="185"/>
      <c r="G30" s="234"/>
      <c r="H30" s="197"/>
      <c r="I30" s="198"/>
      <c r="J30" s="197"/>
      <c r="K30" s="198">
        <f t="shared" si="2"/>
        <v>0</v>
      </c>
      <c r="L30" s="197"/>
      <c r="M30" s="234"/>
      <c r="N30" s="199"/>
      <c r="O30" s="200">
        <f>SUM(K30,M30)</f>
        <v>0</v>
      </c>
      <c r="P30" s="199"/>
      <c r="Q30" s="199"/>
      <c r="R30" s="199"/>
      <c r="S30" s="199"/>
    </row>
    <row r="31" spans="1:21" ht="12.75" customHeight="1">
      <c r="C31" s="206"/>
      <c r="F31" s="185"/>
      <c r="G31" s="199"/>
      <c r="H31" s="199"/>
      <c r="I31" s="199"/>
      <c r="J31" s="199"/>
      <c r="K31" s="199"/>
      <c r="L31" s="199"/>
      <c r="M31" s="199"/>
      <c r="N31" s="199"/>
      <c r="O31" s="204"/>
      <c r="P31" s="199"/>
      <c r="Q31" s="199"/>
      <c r="R31" s="199"/>
      <c r="S31" s="199"/>
      <c r="U31" s="202"/>
    </row>
    <row r="32" spans="1:21" ht="12.75" customHeight="1">
      <c r="B32" s="185" t="s">
        <v>297</v>
      </c>
      <c r="F32" s="185"/>
      <c r="G32" s="199"/>
      <c r="H32" s="199"/>
      <c r="I32" s="199"/>
      <c r="J32" s="199"/>
      <c r="K32" s="199"/>
      <c r="L32" s="199"/>
      <c r="M32" s="234"/>
      <c r="N32" s="199"/>
      <c r="O32" s="200">
        <f>SUM(M32)</f>
        <v>0</v>
      </c>
      <c r="P32" s="199"/>
      <c r="Q32" s="201"/>
      <c r="R32" s="199"/>
      <c r="S32" s="201">
        <f>SUM(O32,Q32)</f>
        <v>0</v>
      </c>
      <c r="U32" s="202" t="s">
        <v>52</v>
      </c>
    </row>
    <row r="33" spans="2:21" ht="12.75" customHeight="1">
      <c r="B33" s="781" t="s">
        <v>2833</v>
      </c>
      <c r="F33" s="185"/>
      <c r="G33" s="199"/>
      <c r="H33" s="199"/>
      <c r="I33" s="199"/>
      <c r="J33" s="199"/>
      <c r="K33" s="199"/>
      <c r="L33" s="199"/>
      <c r="M33" s="234"/>
      <c r="N33" s="199"/>
      <c r="O33" s="200">
        <f t="shared" ref="O33:O34" si="3">SUM(M33)</f>
        <v>0</v>
      </c>
      <c r="P33" s="199"/>
      <c r="Q33" s="201"/>
      <c r="R33" s="199"/>
      <c r="S33" s="201"/>
      <c r="U33" s="202" t="s">
        <v>52</v>
      </c>
    </row>
    <row r="34" spans="2:21" ht="12.75" customHeight="1">
      <c r="B34" s="781" t="s">
        <v>2834</v>
      </c>
      <c r="F34" s="185"/>
      <c r="G34" s="199"/>
      <c r="H34" s="199"/>
      <c r="I34" s="199"/>
      <c r="J34" s="199"/>
      <c r="K34" s="199"/>
      <c r="L34" s="199"/>
      <c r="M34" s="234"/>
      <c r="N34" s="199"/>
      <c r="O34" s="200">
        <f t="shared" si="3"/>
        <v>0</v>
      </c>
      <c r="P34" s="199"/>
      <c r="Q34" s="201"/>
      <c r="R34" s="199"/>
      <c r="S34" s="201"/>
      <c r="U34" s="202" t="s">
        <v>52</v>
      </c>
    </row>
    <row r="35" spans="2:21">
      <c r="B35" s="185" t="s">
        <v>286</v>
      </c>
      <c r="E35" s="235" t="str">
        <f>IF(M35&lt;&gt;0,"Answer Required","N/A")</f>
        <v>N/A</v>
      </c>
      <c r="F35" s="185"/>
      <c r="G35" s="199"/>
      <c r="H35" s="199"/>
      <c r="I35" s="199"/>
      <c r="J35" s="199"/>
      <c r="K35" s="199"/>
      <c r="L35" s="199"/>
      <c r="M35" s="234"/>
      <c r="N35" s="199"/>
      <c r="O35" s="200">
        <f>SUM(M35)</f>
        <v>0</v>
      </c>
      <c r="P35" s="199"/>
      <c r="Q35" s="201"/>
      <c r="R35" s="199"/>
      <c r="S35" s="201">
        <f>SUM(O35,Q35)</f>
        <v>0</v>
      </c>
      <c r="U35" s="202" t="s">
        <v>52</v>
      </c>
    </row>
    <row r="36" spans="2:21" ht="12.75" customHeight="1">
      <c r="C36" s="203" t="s">
        <v>365</v>
      </c>
      <c r="F36" s="185"/>
      <c r="G36" s="199"/>
      <c r="H36" s="199"/>
      <c r="I36" s="199"/>
      <c r="J36" s="199"/>
      <c r="K36" s="199"/>
      <c r="L36" s="199"/>
      <c r="M36" s="200">
        <f>SUM(M32:M35)</f>
        <v>0</v>
      </c>
      <c r="N36" s="199"/>
      <c r="O36" s="200">
        <f>IF(SUM(M36)=SUM(O32:O35),SUM(O32:O35),"ERROR")</f>
        <v>0</v>
      </c>
      <c r="P36" s="199"/>
      <c r="Q36" s="201">
        <f>SUM(Q32:Q35)</f>
        <v>0</v>
      </c>
      <c r="R36" s="199"/>
      <c r="S36" s="201">
        <f>IF(SUM(O36,Q36)=SUM(S32:S35),SUM(S32:S35),"ERROR")</f>
        <v>0</v>
      </c>
      <c r="U36" s="202" t="s">
        <v>52</v>
      </c>
    </row>
    <row r="37" spans="2:21" ht="12.75" customHeight="1">
      <c r="F37" s="185"/>
      <c r="G37" s="199"/>
      <c r="H37" s="199"/>
      <c r="I37" s="199"/>
      <c r="J37" s="199"/>
      <c r="K37" s="199"/>
      <c r="L37" s="199"/>
      <c r="M37" s="199"/>
      <c r="N37" s="199"/>
      <c r="O37" s="204"/>
      <c r="P37" s="199"/>
      <c r="Q37" s="199"/>
      <c r="R37" s="199"/>
      <c r="S37" s="199"/>
      <c r="U37" s="202"/>
    </row>
    <row r="38" spans="2:21" ht="12.75" customHeight="1">
      <c r="B38" s="203" t="s">
        <v>66</v>
      </c>
      <c r="E38" s="207"/>
      <c r="F38" s="208"/>
      <c r="G38" s="197"/>
      <c r="H38" s="197"/>
      <c r="I38" s="197"/>
      <c r="J38" s="197"/>
      <c r="K38" s="197"/>
      <c r="L38" s="197"/>
      <c r="M38" s="234"/>
      <c r="N38" s="199"/>
      <c r="O38" s="200">
        <f>SUM(M38)</f>
        <v>0</v>
      </c>
      <c r="P38" s="199"/>
      <c r="Q38" s="201"/>
      <c r="R38" s="199"/>
      <c r="S38" s="201">
        <f>SUM(O38,Q38)</f>
        <v>0</v>
      </c>
      <c r="U38" s="202" t="s">
        <v>54</v>
      </c>
    </row>
    <row r="39" spans="2:21" ht="12.75" customHeight="1">
      <c r="B39" s="203" t="s">
        <v>67</v>
      </c>
      <c r="E39" s="207"/>
      <c r="F39" s="208"/>
      <c r="G39" s="197"/>
      <c r="H39" s="197"/>
      <c r="I39" s="197"/>
      <c r="J39" s="197"/>
      <c r="K39" s="197"/>
      <c r="L39" s="197"/>
      <c r="M39" s="234"/>
      <c r="N39" s="199"/>
      <c r="O39" s="200">
        <f>SUM(M39)</f>
        <v>0</v>
      </c>
      <c r="P39" s="199"/>
      <c r="Q39" s="201"/>
      <c r="R39" s="199"/>
      <c r="S39" s="201">
        <f>SUM(O39,Q39)</f>
        <v>0</v>
      </c>
      <c r="U39" s="202" t="s">
        <v>54</v>
      </c>
    </row>
    <row r="40" spans="2:21" ht="12.75" customHeight="1">
      <c r="B40" s="203" t="s">
        <v>347</v>
      </c>
      <c r="E40" s="208"/>
      <c r="F40" s="208"/>
      <c r="G40" s="197"/>
      <c r="H40" s="197"/>
      <c r="I40" s="197"/>
      <c r="J40" s="197"/>
      <c r="K40" s="197"/>
      <c r="L40" s="197"/>
      <c r="M40" s="234"/>
      <c r="N40" s="199"/>
      <c r="O40" s="200">
        <f>SUM(M40)</f>
        <v>0</v>
      </c>
      <c r="P40" s="199"/>
      <c r="Q40" s="201"/>
      <c r="R40" s="199"/>
      <c r="S40" s="201">
        <f>SUM(O40,Q40)</f>
        <v>0</v>
      </c>
      <c r="U40" s="202" t="s">
        <v>55</v>
      </c>
    </row>
    <row r="41" spans="2:21" ht="12.75" customHeight="1">
      <c r="B41" s="203" t="s">
        <v>348</v>
      </c>
      <c r="E41" s="208"/>
      <c r="F41" s="208"/>
      <c r="G41" s="197"/>
      <c r="H41" s="197"/>
      <c r="I41" s="197"/>
      <c r="J41" s="197"/>
      <c r="K41" s="197"/>
      <c r="L41" s="197"/>
      <c r="M41" s="234"/>
      <c r="N41" s="199"/>
      <c r="O41" s="200">
        <f>SUM(M41)</f>
        <v>0</v>
      </c>
      <c r="P41" s="199"/>
      <c r="Q41" s="201"/>
      <c r="R41" s="199"/>
      <c r="S41" s="201">
        <f>SUM(O41,Q41)</f>
        <v>0</v>
      </c>
      <c r="U41" s="202" t="s">
        <v>55</v>
      </c>
    </row>
    <row r="42" spans="2:21" ht="12.75" customHeight="1">
      <c r="E42" s="208"/>
      <c r="F42" s="208"/>
      <c r="G42" s="197"/>
      <c r="H42" s="197"/>
      <c r="I42" s="197"/>
      <c r="J42" s="197"/>
      <c r="K42" s="197"/>
      <c r="L42" s="197"/>
      <c r="M42" s="197"/>
      <c r="N42" s="199"/>
      <c r="O42" s="204"/>
      <c r="P42" s="199"/>
      <c r="Q42" s="199"/>
      <c r="R42" s="199"/>
      <c r="S42" s="199"/>
    </row>
    <row r="43" spans="2:21" ht="12.75" customHeight="1">
      <c r="B43" s="185" t="s">
        <v>2851</v>
      </c>
      <c r="C43" s="203"/>
      <c r="E43" s="208"/>
      <c r="F43" s="208"/>
      <c r="G43" s="234"/>
      <c r="H43" s="197"/>
      <c r="I43" s="198"/>
      <c r="J43" s="197"/>
      <c r="K43" s="198">
        <f t="shared" ref="K43:K44" si="4">G43+I43</f>
        <v>0</v>
      </c>
      <c r="L43" s="197"/>
      <c r="M43" s="234"/>
      <c r="N43" s="199"/>
      <c r="O43" s="200">
        <f>SUM(K43,M43)</f>
        <v>0</v>
      </c>
      <c r="P43" s="199"/>
      <c r="Q43" s="201"/>
      <c r="R43" s="199"/>
      <c r="S43" s="201">
        <f>SUM(O43,Q43)</f>
        <v>0</v>
      </c>
    </row>
    <row r="44" spans="2:21" ht="12.75" customHeight="1">
      <c r="B44" s="185" t="s">
        <v>2850</v>
      </c>
      <c r="C44" s="203"/>
      <c r="E44" s="208"/>
      <c r="F44" s="208"/>
      <c r="G44" s="234"/>
      <c r="H44" s="197"/>
      <c r="I44" s="198"/>
      <c r="J44" s="197"/>
      <c r="K44" s="198">
        <f t="shared" si="4"/>
        <v>0</v>
      </c>
      <c r="L44" s="197"/>
      <c r="M44" s="234"/>
      <c r="N44" s="199"/>
      <c r="O44" s="200">
        <f>SUM(K44,M44)</f>
        <v>0</v>
      </c>
      <c r="P44" s="199"/>
      <c r="Q44" s="201"/>
      <c r="R44" s="199"/>
      <c r="S44" s="201"/>
    </row>
    <row r="45" spans="2:21" ht="12.75" customHeight="1">
      <c r="B45" s="185" t="s">
        <v>345</v>
      </c>
      <c r="C45" s="203"/>
      <c r="E45" s="208"/>
      <c r="F45" s="208"/>
      <c r="G45" s="197"/>
      <c r="H45" s="197"/>
      <c r="I45" s="197"/>
      <c r="J45" s="197"/>
      <c r="K45" s="197"/>
      <c r="L45" s="197"/>
      <c r="M45" s="234"/>
      <c r="N45" s="199"/>
      <c r="O45" s="200">
        <f>SUM(M45)</f>
        <v>0</v>
      </c>
      <c r="P45" s="199"/>
      <c r="Q45" s="201"/>
      <c r="R45" s="199"/>
      <c r="S45" s="201">
        <f>SUM(O45,Q45)</f>
        <v>0</v>
      </c>
    </row>
    <row r="46" spans="2:21" ht="12.75" hidden="1" customHeight="1">
      <c r="B46" s="185" t="s">
        <v>349</v>
      </c>
      <c r="E46" s="208"/>
      <c r="F46" s="208"/>
      <c r="G46" s="198"/>
      <c r="H46" s="197"/>
      <c r="I46" s="198"/>
      <c r="J46" s="197"/>
      <c r="K46" s="198"/>
      <c r="L46" s="197"/>
      <c r="M46" s="873"/>
      <c r="N46" s="199"/>
      <c r="O46" s="200">
        <f>SUM(K46,M46)</f>
        <v>0</v>
      </c>
      <c r="P46" s="199"/>
      <c r="Q46" s="201"/>
      <c r="R46" s="199"/>
      <c r="S46" s="201">
        <f>SUM(O46,Q46)</f>
        <v>0</v>
      </c>
    </row>
    <row r="47" spans="2:21">
      <c r="B47" s="185" t="s">
        <v>287</v>
      </c>
      <c r="E47" s="235" t="str">
        <f>IF(OR(G47&lt;&gt;0, M47&lt;&gt;0),"Answer Required","N/A")</f>
        <v>N/A</v>
      </c>
      <c r="F47" s="208"/>
      <c r="G47" s="234"/>
      <c r="H47" s="197"/>
      <c r="I47" s="198"/>
      <c r="J47" s="197"/>
      <c r="K47" s="198">
        <f>G47+I47</f>
        <v>0</v>
      </c>
      <c r="L47" s="197"/>
      <c r="M47" s="234"/>
      <c r="N47" s="199"/>
      <c r="O47" s="200">
        <f>SUM(K47,M47)</f>
        <v>0</v>
      </c>
      <c r="P47" s="199"/>
      <c r="Q47" s="201"/>
      <c r="R47" s="199"/>
      <c r="S47" s="201">
        <f>SUM(O47,Q47)</f>
        <v>0</v>
      </c>
    </row>
    <row r="48" spans="2:21" ht="12.75" customHeight="1">
      <c r="C48" s="203" t="s">
        <v>368</v>
      </c>
      <c r="F48" s="185"/>
      <c r="G48" s="200">
        <f>SUM(G43,G44,G47)</f>
        <v>0</v>
      </c>
      <c r="H48" s="199"/>
      <c r="I48" s="200">
        <f>SUM(I43,I44,I47)</f>
        <v>0</v>
      </c>
      <c r="J48" s="199"/>
      <c r="K48" s="201">
        <f>IF(SUM(G48,I48)=SUM(K43,K44,K46:K47),SUM(K43,K44,K46:K47),"ERROR")</f>
        <v>0</v>
      </c>
      <c r="L48" s="199"/>
      <c r="M48" s="200">
        <f>SUM(M43,M44,M45,M47)</f>
        <v>0</v>
      </c>
      <c r="N48" s="199"/>
      <c r="O48" s="200">
        <f>IF(SUM(K48,M48)=SUM(O43:O45,O47),SUM(O43:O45,O47),"ERROR")</f>
        <v>0</v>
      </c>
      <c r="P48" s="199"/>
      <c r="Q48" s="201">
        <f>SUM(Q43:Q47)</f>
        <v>0</v>
      </c>
      <c r="R48" s="199"/>
      <c r="S48" s="201">
        <f>IF(SUM(O48,Q48)=SUM(S43:S47),SUM(S43:S47),"ERROR")</f>
        <v>0</v>
      </c>
    </row>
    <row r="49" spans="1:21" ht="12.75" customHeight="1" thickBot="1">
      <c r="C49" s="203"/>
      <c r="F49" s="185"/>
      <c r="G49" s="199"/>
      <c r="H49" s="199"/>
      <c r="I49" s="199"/>
      <c r="J49" s="199"/>
      <c r="K49" s="199"/>
      <c r="L49" s="199"/>
      <c r="M49" s="199"/>
      <c r="N49" s="199"/>
      <c r="O49" s="204"/>
      <c r="P49" s="199"/>
      <c r="Q49" s="199"/>
      <c r="R49" s="199"/>
      <c r="S49" s="199"/>
    </row>
    <row r="50" spans="1:21" ht="12.75" customHeight="1" thickBot="1">
      <c r="E50" s="209" t="s">
        <v>350</v>
      </c>
      <c r="F50" s="185"/>
      <c r="G50" s="210">
        <f>SUM(G24,G28,G48,G30)</f>
        <v>0</v>
      </c>
      <c r="H50" s="199"/>
      <c r="I50" s="210">
        <f>SUM(I24,I28,I48,I30)</f>
        <v>0</v>
      </c>
      <c r="J50" s="199"/>
      <c r="K50" s="211">
        <f>SUM(K24,K28,K48,K30)</f>
        <v>0</v>
      </c>
      <c r="L50" s="199"/>
      <c r="M50" s="210">
        <f>SUM(M24,M28,M36, M38:M41,M48,M30)</f>
        <v>0</v>
      </c>
      <c r="N50" s="199"/>
      <c r="O50" s="210">
        <f>SUM(O24,O28,O36, O38:O41,O48,O30)</f>
        <v>0</v>
      </c>
      <c r="P50" s="199"/>
      <c r="Q50" s="211">
        <f>SUM(Q24,Q28,Q36, Q38:Q41,Q48)</f>
        <v>0</v>
      </c>
      <c r="R50" s="199"/>
      <c r="S50" s="211">
        <f>SUM(S24,S28,S36, S38:S41,S48)</f>
        <v>0</v>
      </c>
    </row>
    <row r="51" spans="1:21" ht="12.75" customHeight="1">
      <c r="E51" s="209"/>
      <c r="F51" s="185"/>
      <c r="G51" s="212"/>
      <c r="H51" s="199"/>
      <c r="I51" s="199"/>
      <c r="J51" s="199"/>
      <c r="K51" s="199"/>
      <c r="L51" s="199"/>
      <c r="M51" s="212"/>
      <c r="N51" s="199"/>
      <c r="O51" s="212"/>
      <c r="P51" s="199"/>
      <c r="Q51" s="199"/>
      <c r="R51" s="199"/>
      <c r="S51" s="199"/>
    </row>
    <row r="52" spans="1:21" ht="12.75" customHeight="1">
      <c r="A52" s="189" t="s">
        <v>631</v>
      </c>
      <c r="E52" s="209"/>
      <c r="F52" s="185"/>
      <c r="G52" s="212"/>
      <c r="H52" s="199"/>
      <c r="I52" s="199"/>
      <c r="J52" s="199"/>
      <c r="K52" s="199"/>
      <c r="L52" s="199"/>
      <c r="M52" s="234"/>
      <c r="N52" s="199"/>
      <c r="O52" s="200">
        <f>SUM(M52)</f>
        <v>0</v>
      </c>
      <c r="P52" s="199"/>
      <c r="Q52" s="199"/>
      <c r="R52" s="199"/>
      <c r="S52" s="199"/>
      <c r="U52" s="875" t="s">
        <v>55</v>
      </c>
    </row>
    <row r="53" spans="1:21" ht="12.75" customHeight="1" thickBot="1">
      <c r="A53" s="189"/>
      <c r="E53" s="209"/>
      <c r="F53" s="185"/>
      <c r="G53" s="212"/>
      <c r="H53" s="199"/>
      <c r="I53" s="199"/>
      <c r="J53" s="199"/>
      <c r="K53" s="199"/>
      <c r="L53" s="199"/>
      <c r="M53" s="212"/>
      <c r="N53" s="199"/>
      <c r="O53" s="212"/>
      <c r="P53" s="199"/>
      <c r="Q53" s="199"/>
      <c r="R53" s="199"/>
      <c r="S53" s="199"/>
    </row>
    <row r="54" spans="1:21" ht="12.75" customHeight="1" thickBot="1">
      <c r="E54" s="209" t="s">
        <v>756</v>
      </c>
      <c r="F54" s="185"/>
      <c r="G54" s="212"/>
      <c r="H54" s="199"/>
      <c r="I54" s="199"/>
      <c r="J54" s="199"/>
      <c r="K54" s="199"/>
      <c r="L54" s="199"/>
      <c r="M54" s="210">
        <f>SUM(M50,M52)</f>
        <v>0</v>
      </c>
      <c r="N54" s="199"/>
      <c r="O54" s="210">
        <f>SUM(O50,O52)</f>
        <v>0</v>
      </c>
      <c r="P54" s="199"/>
      <c r="Q54" s="199"/>
      <c r="R54" s="199"/>
      <c r="S54" s="199"/>
    </row>
    <row r="55" spans="1:21" ht="12.75" customHeight="1">
      <c r="E55" s="209"/>
      <c r="F55" s="185"/>
      <c r="G55" s="213"/>
      <c r="H55" s="213"/>
      <c r="I55" s="213"/>
      <c r="J55" s="213"/>
      <c r="K55" s="213"/>
      <c r="L55" s="213"/>
    </row>
    <row r="56" spans="1:21" ht="12.75" customHeight="1">
      <c r="A56" s="913" t="str">
        <f>A2</f>
        <v>Agency Name:</v>
      </c>
      <c r="B56" s="912"/>
      <c r="C56" s="912"/>
      <c r="D56" s="912"/>
      <c r="E56" s="896" t="str">
        <f>E2</f>
        <v/>
      </c>
      <c r="F56" s="897"/>
      <c r="G56" s="898"/>
      <c r="I56" s="191"/>
      <c r="K56" s="191"/>
    </row>
    <row r="57" spans="1:21" ht="12.75" customHeight="1">
      <c r="A57" s="913" t="str">
        <f>A8</f>
        <v>Governmental Fund Type and Name:</v>
      </c>
      <c r="B57" s="912"/>
      <c r="C57" s="912"/>
      <c r="D57" s="912"/>
      <c r="E57" s="896" t="str">
        <f>IF(E8="","",E8)</f>
        <v/>
      </c>
      <c r="F57" s="897"/>
      <c r="G57" s="898"/>
      <c r="H57" s="214"/>
      <c r="I57" s="191"/>
      <c r="J57" s="214"/>
      <c r="K57" s="191"/>
      <c r="L57" s="214"/>
    </row>
    <row r="58" spans="1:21" ht="12.75" customHeight="1">
      <c r="A58" s="913" t="str">
        <f>A6</f>
        <v>Date Completed:</v>
      </c>
      <c r="B58" s="912"/>
      <c r="C58" s="912"/>
      <c r="D58" s="912"/>
      <c r="E58" s="917" t="str">
        <f>IF(E6="","",E6)</f>
        <v/>
      </c>
      <c r="F58" s="918"/>
      <c r="G58" s="919"/>
      <c r="H58" s="214"/>
      <c r="I58" s="191"/>
      <c r="J58" s="214"/>
      <c r="K58" s="191"/>
      <c r="L58" s="214"/>
    </row>
    <row r="59" spans="1:21" ht="12.75" customHeight="1">
      <c r="A59" s="189"/>
      <c r="B59" s="189"/>
      <c r="F59" s="185"/>
      <c r="G59" s="214"/>
      <c r="H59" s="214"/>
      <c r="I59" s="214"/>
      <c r="J59" s="214"/>
      <c r="K59" s="214"/>
      <c r="L59" s="214"/>
    </row>
    <row r="60" spans="1:21" ht="12.75" customHeight="1">
      <c r="A60" s="189" t="str">
        <f>A13</f>
        <v>Balance Sheet</v>
      </c>
      <c r="B60" s="189"/>
      <c r="F60" s="185"/>
      <c r="G60" s="214"/>
      <c r="H60" s="214"/>
      <c r="I60" s="214"/>
      <c r="J60" s="214"/>
      <c r="K60" s="214"/>
      <c r="L60" s="214"/>
    </row>
    <row r="61" spans="1:21" ht="12.75" customHeight="1">
      <c r="A61" s="189" t="str">
        <f>A14</f>
        <v>For the Year Ended June 30, 2024</v>
      </c>
      <c r="B61" s="189"/>
      <c r="F61" s="185"/>
      <c r="G61" s="214"/>
      <c r="H61" s="214"/>
      <c r="I61" s="214"/>
      <c r="J61" s="214"/>
      <c r="K61" s="214"/>
      <c r="L61" s="214"/>
    </row>
    <row r="62" spans="1:21" ht="26.25" customHeight="1" thickBot="1">
      <c r="F62" s="185"/>
      <c r="G62" s="195" t="str">
        <f>G16</f>
        <v>Cash Basis</v>
      </c>
      <c r="H62" s="196"/>
      <c r="I62" s="195" t="str">
        <f>I16</f>
        <v>DOA Adjustments
Cash Basis</v>
      </c>
      <c r="J62" s="196"/>
      <c r="K62" s="195" t="str">
        <f>K16</f>
        <v>Revised Cash Basis</v>
      </c>
      <c r="L62" s="196"/>
      <c r="M62" s="195" t="str">
        <f>M16</f>
        <v>Modified Accrual Adjusting Entries</v>
      </c>
      <c r="N62" s="196"/>
      <c r="O62" s="195" t="str">
        <f>O16</f>
        <v>Modified Accrual Basis</v>
      </c>
      <c r="P62" s="196"/>
      <c r="Q62" s="195" t="str">
        <f>Q16</f>
        <v>DOA Adjustments
Modified Accrual</v>
      </c>
      <c r="R62" s="196"/>
      <c r="S62" s="195" t="str">
        <f>S16</f>
        <v>Revised Modified Accrual</v>
      </c>
      <c r="U62" s="195" t="s">
        <v>104</v>
      </c>
    </row>
    <row r="63" spans="1:21">
      <c r="A63" s="189" t="s">
        <v>646</v>
      </c>
      <c r="F63" s="185"/>
      <c r="G63" s="196"/>
      <c r="H63" s="196"/>
      <c r="I63" s="196"/>
      <c r="J63" s="196"/>
      <c r="K63" s="196"/>
      <c r="L63" s="196"/>
      <c r="M63" s="196"/>
      <c r="N63" s="196"/>
      <c r="O63" s="196"/>
      <c r="P63" s="196"/>
      <c r="Q63" s="196"/>
      <c r="R63" s="196"/>
      <c r="S63" s="196"/>
      <c r="U63" s="196"/>
    </row>
    <row r="64" spans="1:21" ht="12.75" customHeight="1">
      <c r="A64" s="189" t="s">
        <v>351</v>
      </c>
      <c r="F64" s="185"/>
    </row>
    <row r="65" spans="2:21" ht="12.75" customHeight="1">
      <c r="B65" s="215" t="s">
        <v>216</v>
      </c>
      <c r="C65" s="203"/>
      <c r="F65" s="185"/>
      <c r="G65" s="199"/>
      <c r="H65" s="199"/>
      <c r="I65" s="199"/>
      <c r="J65" s="199"/>
      <c r="K65" s="199"/>
      <c r="L65" s="199"/>
      <c r="M65" s="234"/>
      <c r="N65" s="199"/>
      <c r="O65" s="200">
        <f>SUM(M65)</f>
        <v>0</v>
      </c>
      <c r="P65" s="199"/>
      <c r="Q65" s="201"/>
      <c r="R65" s="199"/>
      <c r="S65" s="201">
        <f>SUM(O65,Q65)</f>
        <v>0</v>
      </c>
      <c r="U65" s="216"/>
    </row>
    <row r="66" spans="2:21" ht="12.75" customHeight="1">
      <c r="B66" s="217" t="s">
        <v>618</v>
      </c>
      <c r="C66" s="203"/>
      <c r="F66" s="185"/>
      <c r="G66" s="199"/>
      <c r="H66" s="199"/>
      <c r="I66" s="199"/>
      <c r="J66" s="199"/>
      <c r="K66" s="199"/>
      <c r="L66" s="199"/>
      <c r="M66" s="234"/>
      <c r="N66" s="199"/>
      <c r="O66" s="200">
        <f>SUM(M66)</f>
        <v>0</v>
      </c>
      <c r="P66" s="199"/>
      <c r="Q66" s="201"/>
      <c r="R66" s="199"/>
      <c r="S66" s="201">
        <f>SUM(O66,Q66)</f>
        <v>0</v>
      </c>
      <c r="U66" s="216"/>
    </row>
    <row r="67" spans="2:21" ht="12.75" customHeight="1">
      <c r="B67" s="215" t="s">
        <v>217</v>
      </c>
      <c r="C67" s="203"/>
      <c r="F67" s="185"/>
      <c r="G67" s="199"/>
      <c r="H67" s="199"/>
      <c r="I67" s="199"/>
      <c r="J67" s="199"/>
      <c r="K67" s="199"/>
      <c r="L67" s="199"/>
      <c r="M67" s="234"/>
      <c r="N67" s="199"/>
      <c r="O67" s="200">
        <f>SUM(M67)</f>
        <v>0</v>
      </c>
      <c r="P67" s="199"/>
      <c r="Q67" s="201"/>
      <c r="R67" s="199"/>
      <c r="S67" s="201">
        <f>SUM(O67,Q67)</f>
        <v>0</v>
      </c>
      <c r="U67" s="216"/>
    </row>
    <row r="68" spans="2:21">
      <c r="B68" s="215" t="s">
        <v>288</v>
      </c>
      <c r="C68" s="203"/>
      <c r="E68" s="235" t="str">
        <f>IF(M68&lt;&gt;0,"Answer Required","N/A")</f>
        <v>N/A</v>
      </c>
      <c r="F68" s="185"/>
      <c r="G68" s="199"/>
      <c r="H68" s="199"/>
      <c r="I68" s="199"/>
      <c r="J68" s="199"/>
      <c r="K68" s="199"/>
      <c r="L68" s="199"/>
      <c r="M68" s="234"/>
      <c r="N68" s="199"/>
      <c r="O68" s="200">
        <f>SUM(M68)</f>
        <v>0</v>
      </c>
      <c r="P68" s="199"/>
      <c r="Q68" s="218"/>
      <c r="R68" s="199"/>
      <c r="S68" s="201">
        <f>SUM(O68,Q68)</f>
        <v>0</v>
      </c>
      <c r="U68" s="216"/>
    </row>
    <row r="69" spans="2:21" ht="12.75" customHeight="1">
      <c r="B69" s="876"/>
      <c r="C69" s="203" t="s">
        <v>230</v>
      </c>
      <c r="F69" s="185"/>
      <c r="G69" s="199"/>
      <c r="H69" s="199"/>
      <c r="I69" s="199"/>
      <c r="J69" s="199"/>
      <c r="K69" s="199"/>
      <c r="L69" s="199"/>
      <c r="M69" s="200">
        <f>SUM(M65:M68)</f>
        <v>0</v>
      </c>
      <c r="N69" s="199"/>
      <c r="O69" s="200">
        <f>IF(SUM(M69)=SUM(O65:O68),SUM(O65:O68),"ERROR")</f>
        <v>0</v>
      </c>
      <c r="P69" s="199"/>
      <c r="Q69" s="201">
        <f>SUM(Q65:Q68)</f>
        <v>0</v>
      </c>
      <c r="R69" s="199"/>
      <c r="S69" s="201">
        <f>IF(SUM(O69,Q69)=SUM(S65:S68),SUM(S65:S68),"ERROR")</f>
        <v>0</v>
      </c>
      <c r="U69" s="216"/>
    </row>
    <row r="70" spans="2:21" ht="12.75" customHeight="1">
      <c r="B70" s="876"/>
      <c r="C70" s="203"/>
      <c r="F70" s="185"/>
      <c r="G70" s="199"/>
      <c r="H70" s="199"/>
      <c r="I70" s="199"/>
      <c r="J70" s="199"/>
      <c r="K70" s="199"/>
      <c r="L70" s="199"/>
      <c r="M70" s="220"/>
      <c r="N70" s="199"/>
      <c r="O70" s="220"/>
      <c r="P70" s="199"/>
      <c r="Q70" s="199"/>
      <c r="R70" s="199"/>
      <c r="S70" s="199"/>
      <c r="U70" s="216"/>
    </row>
    <row r="71" spans="2:21" ht="12.75" customHeight="1">
      <c r="B71" s="203" t="s">
        <v>352</v>
      </c>
      <c r="F71" s="185"/>
      <c r="G71" s="199"/>
      <c r="H71" s="199"/>
      <c r="I71" s="201"/>
      <c r="J71" s="199"/>
      <c r="K71" s="198">
        <f>SUM(G71,I71)</f>
        <v>0</v>
      </c>
      <c r="L71" s="199"/>
      <c r="M71" s="234"/>
      <c r="N71" s="199"/>
      <c r="O71" s="200">
        <f>SUM(K71,M71)</f>
        <v>0</v>
      </c>
      <c r="P71" s="199"/>
      <c r="Q71" s="201"/>
      <c r="R71" s="199"/>
      <c r="S71" s="201">
        <f>SUM(O71,Q71)</f>
        <v>0</v>
      </c>
    </row>
    <row r="72" spans="2:21" ht="12.75" customHeight="1">
      <c r="B72" s="203" t="s">
        <v>64</v>
      </c>
      <c r="E72" s="207"/>
      <c r="F72" s="185"/>
      <c r="G72" s="199"/>
      <c r="H72" s="199"/>
      <c r="I72" s="199"/>
      <c r="J72" s="199"/>
      <c r="K72" s="199"/>
      <c r="L72" s="199"/>
      <c r="M72" s="234"/>
      <c r="N72" s="199"/>
      <c r="O72" s="200">
        <f>SUM(M72)</f>
        <v>0</v>
      </c>
      <c r="P72" s="199"/>
      <c r="Q72" s="221"/>
      <c r="R72" s="199"/>
      <c r="S72" s="221">
        <f>SUM(O72,Q72)</f>
        <v>0</v>
      </c>
      <c r="U72" s="202" t="s">
        <v>54</v>
      </c>
    </row>
    <row r="73" spans="2:21" ht="12.75" customHeight="1">
      <c r="B73" s="203" t="s">
        <v>65</v>
      </c>
      <c r="E73" s="207"/>
      <c r="F73" s="185"/>
      <c r="G73" s="199"/>
      <c r="H73" s="199"/>
      <c r="I73" s="199"/>
      <c r="J73" s="199"/>
      <c r="K73" s="199"/>
      <c r="L73" s="199"/>
      <c r="M73" s="234"/>
      <c r="N73" s="199"/>
      <c r="O73" s="200">
        <f>SUM(M73)</f>
        <v>0</v>
      </c>
      <c r="P73" s="199"/>
      <c r="Q73" s="201"/>
      <c r="R73" s="199"/>
      <c r="S73" s="201">
        <f>SUM(O73,Q73)</f>
        <v>0</v>
      </c>
      <c r="U73" s="202" t="s">
        <v>54</v>
      </c>
    </row>
    <row r="74" spans="2:21" ht="12.75" customHeight="1">
      <c r="B74" s="203" t="s">
        <v>470</v>
      </c>
      <c r="E74" s="207"/>
      <c r="F74" s="185"/>
      <c r="G74" s="199"/>
      <c r="H74" s="199"/>
      <c r="I74" s="199"/>
      <c r="J74" s="199"/>
      <c r="K74" s="199"/>
      <c r="L74" s="199"/>
      <c r="M74" s="234"/>
      <c r="N74" s="199"/>
      <c r="O74" s="200">
        <f>SUM(M74)</f>
        <v>0</v>
      </c>
      <c r="P74" s="199"/>
      <c r="Q74" s="201"/>
      <c r="R74" s="199"/>
      <c r="S74" s="201"/>
      <c r="U74" s="202"/>
    </row>
    <row r="75" spans="2:21" ht="12.75" hidden="1" customHeight="1">
      <c r="B75" s="203"/>
      <c r="F75" s="185"/>
      <c r="G75" s="212"/>
      <c r="H75" s="199"/>
      <c r="I75" s="201"/>
      <c r="J75" s="199"/>
      <c r="K75" s="201"/>
      <c r="L75" s="199"/>
      <c r="M75" s="873"/>
      <c r="N75" s="199"/>
      <c r="O75" s="200">
        <f>SUM(K75,M75)</f>
        <v>0</v>
      </c>
      <c r="P75" s="199"/>
      <c r="Q75" s="201"/>
      <c r="R75" s="199"/>
      <c r="S75" s="201">
        <f>SUM(O75,Q75)</f>
        <v>0</v>
      </c>
    </row>
    <row r="76" spans="2:21" ht="12.75" customHeight="1">
      <c r="B76" s="203" t="s">
        <v>232</v>
      </c>
      <c r="F76" s="185"/>
      <c r="G76" s="234"/>
      <c r="H76" s="199"/>
      <c r="I76" s="201"/>
      <c r="J76" s="199"/>
      <c r="K76" s="198">
        <f>SUM(G76,I76)</f>
        <v>0</v>
      </c>
      <c r="L76" s="199"/>
      <c r="M76" s="234"/>
      <c r="N76" s="199"/>
      <c r="O76" s="200">
        <f>SUM(K76,M76)</f>
        <v>0</v>
      </c>
      <c r="P76" s="199"/>
      <c r="Q76" s="201"/>
      <c r="R76" s="199"/>
      <c r="S76" s="201">
        <f>SUM(O76,Q76)</f>
        <v>0</v>
      </c>
    </row>
    <row r="77" spans="2:21" ht="12.75" customHeight="1">
      <c r="B77" s="203"/>
      <c r="F77" s="185"/>
      <c r="G77" s="199"/>
      <c r="H77" s="199"/>
      <c r="I77" s="199"/>
      <c r="J77" s="199"/>
      <c r="K77" s="199"/>
      <c r="L77" s="199"/>
      <c r="M77" s="204"/>
      <c r="N77" s="199"/>
      <c r="O77" s="204"/>
      <c r="P77" s="199"/>
      <c r="Q77" s="204"/>
      <c r="R77" s="199"/>
      <c r="S77" s="204"/>
    </row>
    <row r="78" spans="2:21" ht="12.75" customHeight="1">
      <c r="B78" s="185" t="s">
        <v>356</v>
      </c>
      <c r="F78" s="185"/>
      <c r="G78" s="234"/>
      <c r="H78" s="197"/>
      <c r="I78" s="198"/>
      <c r="J78" s="197"/>
      <c r="K78" s="198">
        <f t="shared" ref="K78:K79" si="5">G78+I78</f>
        <v>0</v>
      </c>
      <c r="L78" s="197"/>
      <c r="M78" s="234"/>
      <c r="N78" s="199"/>
      <c r="O78" s="200">
        <f>SUM(K78,M78)</f>
        <v>0</v>
      </c>
      <c r="P78" s="199"/>
      <c r="Q78" s="201"/>
      <c r="R78" s="199"/>
      <c r="S78" s="201">
        <f>SUM(O78,Q78)</f>
        <v>0</v>
      </c>
    </row>
    <row r="79" spans="2:21">
      <c r="B79" s="185" t="s">
        <v>291</v>
      </c>
      <c r="E79" s="235" t="str">
        <f>IF(OR(G79&lt;&gt;0, M79&lt;&gt;0),"Answer Required","N/A")</f>
        <v>N/A</v>
      </c>
      <c r="F79" s="185"/>
      <c r="G79" s="234"/>
      <c r="H79" s="197"/>
      <c r="I79" s="198"/>
      <c r="J79" s="197"/>
      <c r="K79" s="198">
        <f t="shared" si="5"/>
        <v>0</v>
      </c>
      <c r="L79" s="197"/>
      <c r="M79" s="234"/>
      <c r="N79" s="199"/>
      <c r="O79" s="200">
        <f>SUM(K79,M79)</f>
        <v>0</v>
      </c>
      <c r="P79" s="199"/>
      <c r="Q79" s="201"/>
      <c r="R79" s="199"/>
      <c r="S79" s="201">
        <f>SUM(O79,Q79)</f>
        <v>0</v>
      </c>
    </row>
    <row r="80" spans="2:21" ht="12.75" customHeight="1">
      <c r="C80" s="203" t="s">
        <v>367</v>
      </c>
      <c r="F80" s="185"/>
      <c r="G80" s="200">
        <f>SUM(G78:G79)</f>
        <v>0</v>
      </c>
      <c r="H80" s="199"/>
      <c r="I80" s="201">
        <f>SUM(I78:I79)</f>
        <v>0</v>
      </c>
      <c r="J80" s="199"/>
      <c r="K80" s="201">
        <f>IF(SUM(G80,I80)=SUM(K78:K79),SUM(K78:K79),"ERROR")</f>
        <v>0</v>
      </c>
      <c r="L80" s="199"/>
      <c r="M80" s="200">
        <f>SUM(M78:M79)</f>
        <v>0</v>
      </c>
      <c r="N80" s="199"/>
      <c r="O80" s="200">
        <f>IF(SUM(K80,M80)=SUM(O78:O79),SUM(O78:O79),"ERROR")</f>
        <v>0</v>
      </c>
      <c r="P80" s="199"/>
      <c r="Q80" s="201">
        <f>SUM(Q78:Q79)</f>
        <v>0</v>
      </c>
      <c r="R80" s="199"/>
      <c r="S80" s="201">
        <f>IF(SUM(O80,Q80)=SUM(S78:S79),SUM(S78:S79),"ERROR")</f>
        <v>0</v>
      </c>
    </row>
    <row r="81" spans="1:21" ht="12.75" customHeight="1">
      <c r="C81" s="203"/>
      <c r="F81" s="185"/>
      <c r="G81" s="199"/>
      <c r="H81" s="199"/>
      <c r="I81" s="199"/>
      <c r="J81" s="199"/>
      <c r="K81" s="199"/>
      <c r="L81" s="199"/>
      <c r="M81" s="204"/>
      <c r="N81" s="199"/>
      <c r="O81" s="204"/>
      <c r="P81" s="199"/>
      <c r="Q81" s="204"/>
      <c r="R81" s="199"/>
      <c r="S81" s="204"/>
    </row>
    <row r="82" spans="1:21" ht="12.75" customHeight="1">
      <c r="B82" s="185" t="s">
        <v>424</v>
      </c>
      <c r="C82" s="203"/>
      <c r="F82" s="185"/>
      <c r="G82" s="234"/>
      <c r="H82" s="197"/>
      <c r="I82" s="198"/>
      <c r="J82" s="197"/>
      <c r="K82" s="198">
        <f t="shared" ref="K82:K83" si="6">G82+I82</f>
        <v>0</v>
      </c>
      <c r="L82" s="197"/>
      <c r="M82" s="234"/>
      <c r="N82" s="199"/>
      <c r="O82" s="200">
        <f>SUM(K82,M82)</f>
        <v>0</v>
      </c>
      <c r="P82" s="199"/>
      <c r="Q82" s="201"/>
      <c r="R82" s="199"/>
      <c r="S82" s="201">
        <f>SUM(O82,Q82)</f>
        <v>0</v>
      </c>
      <c r="U82" s="216"/>
    </row>
    <row r="83" spans="1:21">
      <c r="B83" s="185" t="s">
        <v>289</v>
      </c>
      <c r="C83" s="203"/>
      <c r="E83" s="235" t="str">
        <f>IF(OR(G83&lt;&gt;0, M83&lt;&gt;0),"Answer Required","N/A")</f>
        <v>N/A</v>
      </c>
      <c r="F83" s="185"/>
      <c r="G83" s="234"/>
      <c r="H83" s="197"/>
      <c r="I83" s="222"/>
      <c r="J83" s="197"/>
      <c r="K83" s="198">
        <f t="shared" si="6"/>
        <v>0</v>
      </c>
      <c r="L83" s="197"/>
      <c r="M83" s="234"/>
      <c r="N83" s="199"/>
      <c r="O83" s="223">
        <f>SUM(K83,M83)</f>
        <v>0</v>
      </c>
      <c r="P83" s="199"/>
      <c r="Q83" s="201"/>
      <c r="R83" s="199"/>
      <c r="S83" s="201">
        <f>SUM(O83,Q83)</f>
        <v>0</v>
      </c>
      <c r="U83" s="216"/>
    </row>
    <row r="84" spans="1:21" ht="12.75" customHeight="1">
      <c r="C84" s="203" t="s">
        <v>425</v>
      </c>
      <c r="F84" s="185"/>
      <c r="G84" s="200">
        <f>SUM(G82:G83)</f>
        <v>0</v>
      </c>
      <c r="H84" s="199"/>
      <c r="I84" s="201">
        <f>SUM(I82:I83)</f>
        <v>0</v>
      </c>
      <c r="J84" s="199"/>
      <c r="K84" s="201">
        <f>IF(SUM(G84,I84)=SUM(K82:K83),SUM(K82:K83),"ERROR")</f>
        <v>0</v>
      </c>
      <c r="L84" s="199"/>
      <c r="M84" s="200">
        <f>SUM(M82:M83)</f>
        <v>0</v>
      </c>
      <c r="N84" s="199"/>
      <c r="O84" s="200">
        <f>IF(SUM(K84,M84)=SUM(O82:O83),SUM(O82:O83),"ERROR")</f>
        <v>0</v>
      </c>
      <c r="P84" s="199"/>
      <c r="Q84" s="201">
        <f>SUM(Q82:Q83)</f>
        <v>0</v>
      </c>
      <c r="R84" s="199"/>
      <c r="S84" s="201">
        <f>IF(SUM(O84,Q84)=SUM(S82:S83),SUM(S82:S83),"ERROR")</f>
        <v>0</v>
      </c>
      <c r="U84" s="216"/>
    </row>
    <row r="85" spans="1:21" ht="12.75" customHeight="1" thickBot="1">
      <c r="F85" s="185"/>
      <c r="G85" s="199"/>
      <c r="H85" s="199"/>
      <c r="I85" s="199"/>
      <c r="J85" s="199"/>
      <c r="K85" s="199"/>
      <c r="L85" s="199"/>
      <c r="M85" s="204"/>
      <c r="N85" s="199"/>
      <c r="O85" s="204"/>
      <c r="P85" s="199"/>
      <c r="Q85" s="204"/>
      <c r="R85" s="199"/>
      <c r="S85" s="204"/>
    </row>
    <row r="86" spans="1:21" ht="12.75" customHeight="1" thickBot="1">
      <c r="E86" s="203" t="s">
        <v>357</v>
      </c>
      <c r="F86" s="185"/>
      <c r="G86" s="210">
        <f>SUM(G76,G80,G84)</f>
        <v>0</v>
      </c>
      <c r="H86" s="199"/>
      <c r="I86" s="211">
        <f>SUM(I71,I75:I76,I80,I84)</f>
        <v>0</v>
      </c>
      <c r="J86" s="199"/>
      <c r="K86" s="211">
        <f>IF(SUM(G86,I86)=SUM(K71,K75:K76,K80,K84),SUM(K71,K75:K76,K80,K84),"ERROR")</f>
        <v>0</v>
      </c>
      <c r="L86" s="199"/>
      <c r="M86" s="210">
        <f>SUM(M69,M71:M74,M76,M80,M84)</f>
        <v>0</v>
      </c>
      <c r="N86" s="199"/>
      <c r="O86" s="210">
        <f>IF(SUM(K86,M86)=SUM(O69,O71:O76,O80,O84),SUM(O69,O71:O76,O80,O84),"ERROR")</f>
        <v>0</v>
      </c>
      <c r="P86" s="199"/>
      <c r="Q86" s="211">
        <f>SUM(Q69,Q71:Q76,Q80,Q84)</f>
        <v>0</v>
      </c>
      <c r="R86" s="199"/>
      <c r="S86" s="211">
        <f>IF(SUM(O86,Q86)=SUM(S69,S71:S76,S80,S84),SUM(S69,S71:S76,S80,S84),"ERROR")</f>
        <v>0</v>
      </c>
    </row>
    <row r="87" spans="1:21" ht="12.75" customHeight="1">
      <c r="E87" s="203"/>
      <c r="F87" s="185"/>
      <c r="G87" s="212"/>
      <c r="H87" s="199"/>
      <c r="I87" s="199"/>
      <c r="J87" s="199"/>
      <c r="K87" s="199"/>
      <c r="L87" s="199"/>
      <c r="M87" s="212"/>
      <c r="N87" s="199"/>
      <c r="O87" s="212"/>
      <c r="P87" s="199"/>
      <c r="Q87" s="199"/>
      <c r="R87" s="199"/>
      <c r="S87" s="199"/>
    </row>
    <row r="88" spans="1:21">
      <c r="A88" s="189" t="s">
        <v>632</v>
      </c>
      <c r="E88" s="235" t="str">
        <f>IF(M88&lt;&gt;0,"Answer Required","N/A")</f>
        <v>N/A</v>
      </c>
      <c r="F88" s="185"/>
      <c r="G88" s="212"/>
      <c r="H88" s="199"/>
      <c r="I88" s="199"/>
      <c r="J88" s="199"/>
      <c r="K88" s="199"/>
      <c r="L88" s="199"/>
      <c r="M88" s="234"/>
      <c r="N88" s="199"/>
      <c r="O88" s="200">
        <f>SUM(M88)</f>
        <v>0</v>
      </c>
      <c r="P88" s="199"/>
      <c r="Q88" s="199"/>
      <c r="R88" s="199"/>
      <c r="S88" s="199"/>
      <c r="U88" s="875" t="s">
        <v>55</v>
      </c>
    </row>
    <row r="89" spans="1:21" ht="12.75" customHeight="1" thickBot="1">
      <c r="E89" s="203"/>
      <c r="F89" s="185"/>
      <c r="G89" s="212"/>
      <c r="H89" s="199"/>
      <c r="I89" s="199"/>
      <c r="J89" s="199"/>
      <c r="K89" s="199"/>
      <c r="L89" s="199"/>
      <c r="M89" s="212"/>
      <c r="N89" s="199"/>
      <c r="O89" s="212"/>
      <c r="P89" s="199"/>
      <c r="Q89" s="199"/>
      <c r="R89" s="199"/>
      <c r="S89" s="199"/>
    </row>
    <row r="90" spans="1:21" ht="12.75" customHeight="1" thickBot="1">
      <c r="E90" s="209" t="s">
        <v>757</v>
      </c>
      <c r="F90" s="185"/>
      <c r="G90" s="212"/>
      <c r="H90" s="199"/>
      <c r="I90" s="199"/>
      <c r="J90" s="199"/>
      <c r="K90" s="199"/>
      <c r="L90" s="199"/>
      <c r="M90" s="210">
        <f>SUM(M86,M88)</f>
        <v>0</v>
      </c>
      <c r="N90" s="199"/>
      <c r="O90" s="210">
        <f>SUM(O86,O88)</f>
        <v>0</v>
      </c>
      <c r="P90" s="199"/>
      <c r="Q90" s="199"/>
      <c r="R90" s="199"/>
      <c r="S90" s="199"/>
    </row>
    <row r="91" spans="1:21" ht="12.75" customHeight="1">
      <c r="E91" s="203"/>
      <c r="F91" s="185"/>
      <c r="G91" s="212"/>
      <c r="H91" s="199"/>
      <c r="I91" s="199"/>
      <c r="J91" s="199"/>
      <c r="K91" s="199"/>
      <c r="L91" s="199"/>
      <c r="M91" s="212"/>
      <c r="N91" s="199"/>
      <c r="O91" s="212"/>
      <c r="P91" s="199"/>
      <c r="Q91" s="199"/>
      <c r="R91" s="199"/>
      <c r="S91" s="199"/>
    </row>
    <row r="92" spans="1:21" ht="12.75" customHeight="1">
      <c r="E92" s="203"/>
      <c r="F92" s="185"/>
      <c r="G92" s="212"/>
      <c r="H92" s="199"/>
      <c r="I92" s="199"/>
      <c r="J92" s="199"/>
      <c r="K92" s="199"/>
      <c r="L92" s="199"/>
      <c r="M92" s="212"/>
      <c r="N92" s="199"/>
      <c r="O92" s="212"/>
      <c r="P92" s="199"/>
      <c r="Q92" s="199"/>
      <c r="R92" s="199"/>
      <c r="S92" s="199"/>
    </row>
    <row r="93" spans="1:21">
      <c r="E93" s="203"/>
      <c r="F93" s="185"/>
      <c r="G93" s="199"/>
      <c r="H93" s="199"/>
      <c r="I93" s="199"/>
      <c r="J93" s="199"/>
      <c r="K93" s="199"/>
      <c r="L93" s="199"/>
      <c r="M93" s="199"/>
      <c r="N93" s="199"/>
      <c r="O93" s="199"/>
      <c r="P93" s="199"/>
      <c r="Q93" s="199"/>
      <c r="R93" s="199"/>
      <c r="S93" s="199"/>
    </row>
    <row r="94" spans="1:21" ht="12.75" customHeight="1">
      <c r="A94" s="189" t="s">
        <v>452</v>
      </c>
      <c r="E94" s="185" t="s">
        <v>608</v>
      </c>
      <c r="F94" s="185"/>
      <c r="G94" s="199"/>
      <c r="H94" s="199"/>
      <c r="I94" s="199"/>
      <c r="J94" s="199"/>
      <c r="K94" s="199"/>
      <c r="L94" s="199"/>
      <c r="M94" s="204"/>
      <c r="N94" s="199"/>
      <c r="O94" s="204"/>
      <c r="P94" s="199"/>
      <c r="Q94" s="204"/>
      <c r="R94" s="199"/>
      <c r="S94" s="204"/>
    </row>
    <row r="95" spans="1:21" ht="12.75" customHeight="1">
      <c r="A95" s="203" t="s">
        <v>256</v>
      </c>
      <c r="B95" s="203"/>
      <c r="E95" s="877" t="str">
        <f>IF(O95='Fund Balance Reconciliation'!C59, "", "ERROR")</f>
        <v/>
      </c>
      <c r="F95" s="185"/>
      <c r="G95" s="234"/>
      <c r="H95" s="197"/>
      <c r="I95" s="198"/>
      <c r="J95" s="197"/>
      <c r="K95" s="198">
        <f t="shared" ref="K95:K100" si="7">G95+I95</f>
        <v>0</v>
      </c>
      <c r="L95" s="197"/>
      <c r="M95" s="234"/>
      <c r="N95" s="199"/>
      <c r="O95" s="200">
        <f t="shared" ref="O95:O100" si="8">SUM(K95,M95)</f>
        <v>0</v>
      </c>
      <c r="P95" s="199"/>
      <c r="Q95" s="201">
        <f>Q40</f>
        <v>0</v>
      </c>
      <c r="R95" s="199"/>
      <c r="S95" s="201">
        <f>IF(SUM(O95,Q95)=SUM(S40),SUM(S40),"ERROR")</f>
        <v>0</v>
      </c>
      <c r="U95" s="202" t="s">
        <v>260</v>
      </c>
    </row>
    <row r="96" spans="1:21" ht="12.75" hidden="1" customHeight="1">
      <c r="A96" s="203" t="s">
        <v>248</v>
      </c>
      <c r="B96" s="203"/>
      <c r="E96" s="878"/>
      <c r="F96" s="185"/>
      <c r="G96" s="873"/>
      <c r="H96" s="197"/>
      <c r="I96" s="198"/>
      <c r="J96" s="197"/>
      <c r="K96" s="198">
        <f t="shared" si="7"/>
        <v>0</v>
      </c>
      <c r="L96" s="197"/>
      <c r="M96" s="873"/>
      <c r="N96" s="199"/>
      <c r="O96" s="200">
        <f t="shared" si="8"/>
        <v>0</v>
      </c>
      <c r="P96" s="199"/>
      <c r="Q96" s="201">
        <f>Q41</f>
        <v>0</v>
      </c>
      <c r="R96" s="199"/>
      <c r="S96" s="201">
        <f>IF(SUM(O96,Q96)=SUM(S41),SUM(S41),"ERROR")</f>
        <v>0</v>
      </c>
      <c r="U96" s="202" t="s">
        <v>260</v>
      </c>
    </row>
    <row r="97" spans="1:21" ht="12.75" hidden="1" customHeight="1">
      <c r="A97" s="203" t="s">
        <v>416</v>
      </c>
      <c r="E97" s="878"/>
      <c r="F97" s="185"/>
      <c r="G97" s="873"/>
      <c r="H97" s="197"/>
      <c r="I97" s="198"/>
      <c r="J97" s="197"/>
      <c r="K97" s="198">
        <f t="shared" si="7"/>
        <v>0</v>
      </c>
      <c r="L97" s="197"/>
      <c r="M97" s="873"/>
      <c r="N97" s="199"/>
      <c r="O97" s="200">
        <f t="shared" si="8"/>
        <v>0</v>
      </c>
      <c r="P97" s="199"/>
      <c r="Q97" s="201"/>
      <c r="R97" s="199"/>
      <c r="S97" s="201">
        <f>SUM(O97,Q97)</f>
        <v>0</v>
      </c>
      <c r="U97" s="202" t="s">
        <v>260</v>
      </c>
    </row>
    <row r="98" spans="1:21" ht="12.75" hidden="1" customHeight="1">
      <c r="A98" s="203" t="s">
        <v>261</v>
      </c>
      <c r="E98" s="878"/>
      <c r="F98" s="185"/>
      <c r="G98" s="873"/>
      <c r="H98" s="197"/>
      <c r="I98" s="198"/>
      <c r="J98" s="197"/>
      <c r="K98" s="198">
        <f t="shared" si="7"/>
        <v>0</v>
      </c>
      <c r="L98" s="197"/>
      <c r="M98" s="873"/>
      <c r="N98" s="199"/>
      <c r="O98" s="200">
        <f t="shared" si="8"/>
        <v>0</v>
      </c>
      <c r="P98" s="199"/>
      <c r="Q98" s="201"/>
      <c r="R98" s="199"/>
      <c r="S98" s="201">
        <f>SUM(O98,Q98)</f>
        <v>0</v>
      </c>
      <c r="U98" s="202" t="s">
        <v>260</v>
      </c>
    </row>
    <row r="99" spans="1:21" ht="12.75" hidden="1" customHeight="1">
      <c r="A99" s="203" t="s">
        <v>262</v>
      </c>
      <c r="E99" s="878"/>
      <c r="F99" s="185"/>
      <c r="G99" s="873"/>
      <c r="H99" s="197"/>
      <c r="I99" s="198"/>
      <c r="J99" s="197"/>
      <c r="K99" s="198">
        <f t="shared" si="7"/>
        <v>0</v>
      </c>
      <c r="L99" s="197"/>
      <c r="M99" s="873"/>
      <c r="N99" s="199"/>
      <c r="O99" s="200">
        <f t="shared" si="8"/>
        <v>0</v>
      </c>
      <c r="P99" s="199"/>
      <c r="Q99" s="201"/>
      <c r="R99" s="199"/>
      <c r="S99" s="201">
        <f>SUM(O99,Q99)</f>
        <v>0</v>
      </c>
      <c r="U99" s="202" t="s">
        <v>260</v>
      </c>
    </row>
    <row r="100" spans="1:21">
      <c r="A100" s="203" t="s">
        <v>257</v>
      </c>
      <c r="E100" s="877" t="str">
        <f>IF(O100='Fund Balance Reconciliation'!E59, "", "ERROR")</f>
        <v/>
      </c>
      <c r="F100" s="185"/>
      <c r="G100" s="234"/>
      <c r="H100" s="197"/>
      <c r="I100" s="198"/>
      <c r="J100" s="197"/>
      <c r="K100" s="198">
        <f t="shared" si="7"/>
        <v>0</v>
      </c>
      <c r="L100" s="197"/>
      <c r="M100" s="234"/>
      <c r="N100" s="199"/>
      <c r="O100" s="200">
        <f t="shared" si="8"/>
        <v>0</v>
      </c>
      <c r="P100" s="199"/>
      <c r="Q100" s="201"/>
      <c r="R100" s="199"/>
      <c r="S100" s="201">
        <f>SUM(O100,Q100)</f>
        <v>0</v>
      </c>
      <c r="U100" s="202" t="s">
        <v>260</v>
      </c>
    </row>
    <row r="101" spans="1:21" ht="12.75" customHeight="1">
      <c r="A101" s="203"/>
      <c r="F101" s="185"/>
      <c r="G101" s="197"/>
      <c r="H101" s="197"/>
      <c r="I101" s="197"/>
      <c r="J101" s="197"/>
      <c r="K101" s="197"/>
      <c r="L101" s="197"/>
      <c r="M101" s="197"/>
      <c r="N101" s="199"/>
      <c r="O101" s="199"/>
      <c r="P101" s="199"/>
      <c r="Q101" s="199"/>
      <c r="R101" s="199"/>
      <c r="S101" s="199"/>
      <c r="U101" s="202"/>
    </row>
    <row r="102" spans="1:21" ht="12.75" customHeight="1">
      <c r="A102" s="203" t="s">
        <v>263</v>
      </c>
      <c r="E102" s="877" t="str">
        <f>IF(O102='Fund Balance Reconciliation'!G59, "", "ERROR")</f>
        <v/>
      </c>
      <c r="F102" s="185"/>
      <c r="G102" s="234"/>
      <c r="H102" s="197"/>
      <c r="I102" s="198"/>
      <c r="J102" s="197"/>
      <c r="K102" s="198">
        <f t="shared" ref="K102:K103" si="9">G102+I102</f>
        <v>0</v>
      </c>
      <c r="L102" s="197"/>
      <c r="M102" s="234"/>
      <c r="N102" s="199"/>
      <c r="O102" s="200">
        <f>SUM(K102,M102)</f>
        <v>0</v>
      </c>
      <c r="P102" s="199"/>
      <c r="Q102" s="201"/>
      <c r="R102" s="199"/>
      <c r="S102" s="201">
        <f>SUM(O102,Q102)</f>
        <v>0</v>
      </c>
      <c r="U102" s="202" t="s">
        <v>260</v>
      </c>
    </row>
    <row r="103" spans="1:21" ht="12.75" customHeight="1">
      <c r="A103" s="203" t="s">
        <v>264</v>
      </c>
      <c r="E103" s="877" t="str">
        <f>IF(O103='Fund Balance Reconciliation'!I59, "", "ERROR")</f>
        <v/>
      </c>
      <c r="F103" s="185"/>
      <c r="G103" s="234"/>
      <c r="H103" s="197"/>
      <c r="I103" s="198"/>
      <c r="J103" s="197"/>
      <c r="K103" s="198">
        <f t="shared" si="9"/>
        <v>0</v>
      </c>
      <c r="L103" s="197"/>
      <c r="M103" s="234"/>
      <c r="N103" s="199"/>
      <c r="O103" s="200">
        <f>SUM(K103,M103)</f>
        <v>0</v>
      </c>
      <c r="P103" s="199"/>
      <c r="Q103" s="201"/>
      <c r="R103" s="199"/>
      <c r="S103" s="201">
        <f>SUM(O103,Q103)</f>
        <v>0</v>
      </c>
      <c r="U103" s="202" t="s">
        <v>260</v>
      </c>
    </row>
    <row r="104" spans="1:21" ht="12.75" hidden="1" customHeight="1">
      <c r="A104" s="203" t="s">
        <v>265</v>
      </c>
      <c r="E104" s="879"/>
      <c r="F104" s="185"/>
      <c r="G104" s="200"/>
      <c r="H104" s="199"/>
      <c r="I104" s="201"/>
      <c r="J104" s="199"/>
      <c r="K104" s="201"/>
      <c r="L104" s="199"/>
      <c r="M104" s="200"/>
      <c r="N104" s="199"/>
      <c r="O104" s="200">
        <f>SUM(K104,M104)</f>
        <v>0</v>
      </c>
      <c r="P104" s="199"/>
      <c r="Q104" s="201"/>
      <c r="R104" s="199"/>
      <c r="S104" s="201">
        <f>SUM(O104,Q104)</f>
        <v>0</v>
      </c>
      <c r="U104" s="202"/>
    </row>
    <row r="105" spans="1:21" ht="12.75" customHeight="1" thickBot="1">
      <c r="A105" s="203"/>
      <c r="F105" s="185"/>
      <c r="G105" s="199"/>
      <c r="H105" s="199"/>
      <c r="I105" s="199"/>
      <c r="J105" s="199"/>
      <c r="K105" s="199"/>
      <c r="L105" s="199"/>
      <c r="M105" s="199"/>
      <c r="N105" s="199"/>
      <c r="O105" s="199"/>
      <c r="P105" s="199"/>
      <c r="Q105" s="199"/>
      <c r="R105" s="199"/>
      <c r="S105" s="199"/>
    </row>
    <row r="106" spans="1:21" ht="12.75" customHeight="1" thickBot="1">
      <c r="E106" s="203" t="s">
        <v>453</v>
      </c>
      <c r="F106" s="185"/>
      <c r="G106" s="210">
        <f>IF(SUM(G95,G100,G102,G103)+G86=G50,SUM(G95,G100,G102,G103),"ERROR")</f>
        <v>0</v>
      </c>
      <c r="H106" s="199"/>
      <c r="I106" s="211">
        <f>IF(SUM(I95:I100,I102,I103,I104)+I86=I50,SUM(I95:I100,I102,I103,I104),"ERROR")</f>
        <v>0</v>
      </c>
      <c r="J106" s="199"/>
      <c r="K106" s="211">
        <f>IF(SUM(K95:K100,K102,K103,K104)+K86=K50,SUM(K95:K100,K102,K103,K104),"ERROR")</f>
        <v>0</v>
      </c>
      <c r="L106" s="199"/>
      <c r="M106" s="210">
        <f>IF(SUM(M95,M100,M102,M103)+M90=M54,SUM(M95,M100,M102,M103),"ERROR")</f>
        <v>0</v>
      </c>
      <c r="N106" s="199"/>
      <c r="O106" s="210">
        <f>IF(SUM(O95:O100,O102,O103,O104)+O90=O54,SUM(O95:O100,O102,O103,O104),"ERROR")</f>
        <v>0</v>
      </c>
      <c r="P106" s="199"/>
      <c r="Q106" s="211">
        <f>IF(SUM(Q95:Q100,Q102,Q103,Q104)+Q86=Q50,SUM(Q95:Q100,Q102,Q103,Q104),"ERROR")</f>
        <v>0</v>
      </c>
      <c r="R106" s="199"/>
      <c r="S106" s="211">
        <f>IF(SUM(S95:S100,S102,S103,S104)+S86=S50,SUM(S95:S100,S102,S103,S104),"ERROR")</f>
        <v>0</v>
      </c>
      <c r="U106" s="199"/>
    </row>
    <row r="107" spans="1:21" ht="13.5" thickBot="1">
      <c r="E107" s="203"/>
      <c r="F107" s="185"/>
      <c r="G107" s="213"/>
      <c r="H107" s="213"/>
      <c r="I107" s="213"/>
      <c r="J107" s="213"/>
      <c r="K107" s="213"/>
      <c r="L107" s="213"/>
      <c r="U107" s="185"/>
    </row>
    <row r="108" spans="1:21" ht="13.5" thickBot="1">
      <c r="E108" s="224" t="s">
        <v>308</v>
      </c>
      <c r="F108" s="185"/>
      <c r="G108" s="225">
        <f>(SUM(G95:G100,G102,G103,G104)+G86)-G50</f>
        <v>0</v>
      </c>
      <c r="H108" s="880"/>
      <c r="I108" s="880"/>
      <c r="J108" s="880"/>
      <c r="K108" s="880"/>
      <c r="L108" s="880"/>
      <c r="M108" s="225">
        <f>(SUM(M95:M100,M102,M103,M104)+M90)-M54</f>
        <v>0</v>
      </c>
      <c r="N108" s="189"/>
      <c r="O108" s="225">
        <f>(SUM(O95:O100,O102,O103,O104)+O90)-O54</f>
        <v>0</v>
      </c>
    </row>
    <row r="109" spans="1:21">
      <c r="E109" s="224"/>
      <c r="F109" s="185"/>
      <c r="G109" s="226"/>
      <c r="H109" s="213"/>
      <c r="I109" s="213"/>
      <c r="J109" s="213"/>
      <c r="K109" s="213"/>
      <c r="L109" s="213"/>
      <c r="M109" s="226"/>
      <c r="O109" s="226"/>
    </row>
    <row r="110" spans="1:21" ht="12.75" customHeight="1">
      <c r="A110" s="911" t="str">
        <f>A2</f>
        <v>Agency Name:</v>
      </c>
      <c r="B110" s="912"/>
      <c r="C110" s="912"/>
      <c r="D110" s="912"/>
      <c r="E110" s="896" t="str">
        <f>E2</f>
        <v/>
      </c>
      <c r="F110" s="897"/>
      <c r="G110" s="898"/>
      <c r="I110" s="191"/>
      <c r="K110" s="191"/>
    </row>
    <row r="111" spans="1:21" ht="12.75" customHeight="1">
      <c r="A111" s="911" t="str">
        <f>A8</f>
        <v>Governmental Fund Type and Name:</v>
      </c>
      <c r="B111" s="912"/>
      <c r="C111" s="912"/>
      <c r="D111" s="912"/>
      <c r="E111" s="896" t="str">
        <f>IF(E8="","",E8)</f>
        <v/>
      </c>
      <c r="F111" s="897"/>
      <c r="G111" s="898"/>
      <c r="I111" s="191"/>
      <c r="K111" s="191"/>
    </row>
    <row r="112" spans="1:21" ht="12.75" customHeight="1">
      <c r="A112" s="911" t="str">
        <f>A6</f>
        <v>Date Completed:</v>
      </c>
      <c r="B112" s="912"/>
      <c r="C112" s="912"/>
      <c r="D112" s="912"/>
      <c r="E112" s="917" t="str">
        <f>IF(E6="","",E6)</f>
        <v/>
      </c>
      <c r="F112" s="918"/>
      <c r="G112" s="919"/>
      <c r="I112" s="191"/>
      <c r="K112" s="191"/>
    </row>
    <row r="113" spans="1:21" ht="12.75" customHeight="1">
      <c r="A113" s="188"/>
      <c r="F113" s="185"/>
    </row>
    <row r="114" spans="1:21" ht="12.75" customHeight="1">
      <c r="A114" s="188" t="s">
        <v>643</v>
      </c>
      <c r="F114" s="185"/>
    </row>
    <row r="115" spans="1:21" ht="12.75" customHeight="1">
      <c r="A115" s="188" t="str">
        <f>+A14</f>
        <v>For the Year Ended June 30, 2024</v>
      </c>
      <c r="F115" s="185"/>
    </row>
    <row r="116" spans="1:21" ht="26.25" customHeight="1" thickBot="1">
      <c r="A116" s="227"/>
      <c r="F116" s="185"/>
      <c r="G116" s="195" t="str">
        <f>G16</f>
        <v>Cash Basis</v>
      </c>
      <c r="H116" s="196"/>
      <c r="I116" s="195" t="str">
        <f>I16</f>
        <v>DOA Adjustments
Cash Basis</v>
      </c>
      <c r="J116" s="196"/>
      <c r="K116" s="195" t="str">
        <f>K16</f>
        <v>Revised Cash Basis</v>
      </c>
      <c r="L116" s="196"/>
      <c r="M116" s="195" t="str">
        <f>M16</f>
        <v>Modified Accrual Adjusting Entries</v>
      </c>
      <c r="N116" s="196"/>
      <c r="O116" s="195" t="str">
        <f>O16</f>
        <v>Modified Accrual Basis</v>
      </c>
      <c r="P116" s="196"/>
      <c r="Q116" s="195" t="str">
        <f>Q16</f>
        <v>DOA Adjustments
Modified Accrual</v>
      </c>
      <c r="R116" s="196"/>
      <c r="S116" s="195"/>
      <c r="U116" s="195" t="s">
        <v>104</v>
      </c>
    </row>
    <row r="117" spans="1:21" ht="12.75" customHeight="1">
      <c r="A117" s="188" t="s">
        <v>29</v>
      </c>
      <c r="F117" s="185"/>
    </row>
    <row r="118" spans="1:21" ht="12.75" customHeight="1">
      <c r="B118" s="209" t="s">
        <v>426</v>
      </c>
      <c r="F118" s="185"/>
      <c r="G118" s="234"/>
      <c r="H118" s="197"/>
      <c r="I118" s="198"/>
      <c r="J118" s="197"/>
      <c r="K118" s="198">
        <f t="shared" ref="K118:K120" si="10">G118+I118</f>
        <v>0</v>
      </c>
      <c r="L118" s="197"/>
      <c r="M118" s="234"/>
      <c r="N118" s="199"/>
      <c r="O118" s="200">
        <f>SUM(K118,M118)</f>
        <v>0</v>
      </c>
      <c r="P118" s="199"/>
      <c r="Q118" s="201"/>
      <c r="R118" s="199"/>
      <c r="S118" s="201">
        <f>SUM(O118,Q118)</f>
        <v>0</v>
      </c>
    </row>
    <row r="119" spans="1:21" ht="12.75" customHeight="1">
      <c r="B119" s="209" t="s">
        <v>427</v>
      </c>
      <c r="F119" s="185"/>
      <c r="G119" s="234"/>
      <c r="H119" s="197"/>
      <c r="I119" s="198"/>
      <c r="J119" s="197"/>
      <c r="K119" s="198">
        <f t="shared" si="10"/>
        <v>0</v>
      </c>
      <c r="L119" s="197"/>
      <c r="M119" s="234"/>
      <c r="N119" s="199"/>
      <c r="O119" s="200">
        <f>SUM(K119,M119)</f>
        <v>0</v>
      </c>
      <c r="P119" s="199"/>
      <c r="Q119" s="201"/>
      <c r="R119" s="199"/>
      <c r="S119" s="201">
        <f>SUM(O119,Q119)</f>
        <v>0</v>
      </c>
    </row>
    <row r="120" spans="1:21" ht="12.75" customHeight="1">
      <c r="B120" s="209" t="s">
        <v>442</v>
      </c>
      <c r="F120" s="185"/>
      <c r="G120" s="234"/>
      <c r="H120" s="197"/>
      <c r="I120" s="198"/>
      <c r="J120" s="197"/>
      <c r="K120" s="198">
        <f t="shared" si="10"/>
        <v>0</v>
      </c>
      <c r="L120" s="197"/>
      <c r="M120" s="234"/>
      <c r="N120" s="199"/>
      <c r="O120" s="200">
        <f>SUM(K120,M120)</f>
        <v>0</v>
      </c>
      <c r="P120" s="199"/>
      <c r="Q120" s="201"/>
      <c r="R120" s="199"/>
      <c r="S120" s="201">
        <f>SUM(O120,Q120)</f>
        <v>0</v>
      </c>
    </row>
    <row r="121" spans="1:21" ht="12.75" customHeight="1">
      <c r="B121" s="186"/>
      <c r="F121" s="185"/>
      <c r="G121" s="197"/>
      <c r="H121" s="197"/>
      <c r="I121" s="197"/>
      <c r="J121" s="197"/>
      <c r="K121" s="197"/>
      <c r="L121" s="197"/>
      <c r="M121" s="228"/>
      <c r="N121" s="199"/>
      <c r="O121" s="204"/>
      <c r="P121" s="199"/>
      <c r="Q121" s="204"/>
      <c r="R121" s="199"/>
      <c r="S121" s="199"/>
    </row>
    <row r="122" spans="1:21" ht="12.75" customHeight="1">
      <c r="B122" s="186" t="s">
        <v>2705</v>
      </c>
      <c r="F122" s="185"/>
      <c r="G122" s="234"/>
      <c r="H122" s="197"/>
      <c r="I122" s="198"/>
      <c r="J122" s="197"/>
      <c r="K122" s="198">
        <f t="shared" ref="K122:K127" si="11">G122+I122</f>
        <v>0</v>
      </c>
      <c r="L122" s="197"/>
      <c r="M122" s="234"/>
      <c r="N122" s="199"/>
      <c r="O122" s="200">
        <f t="shared" ref="O122:O127" si="12">SUM(K122,M122)</f>
        <v>0</v>
      </c>
      <c r="P122" s="199"/>
      <c r="Q122" s="201"/>
      <c r="R122" s="199"/>
      <c r="S122" s="201">
        <f t="shared" ref="S122:S127" si="13">SUM(O122,Q122)</f>
        <v>0</v>
      </c>
    </row>
    <row r="123" spans="1:21" ht="12.75" customHeight="1">
      <c r="B123" s="186" t="s">
        <v>428</v>
      </c>
      <c r="F123" s="185"/>
      <c r="G123" s="234"/>
      <c r="H123" s="197"/>
      <c r="I123" s="198"/>
      <c r="J123" s="197"/>
      <c r="K123" s="198">
        <f t="shared" si="11"/>
        <v>0</v>
      </c>
      <c r="L123" s="197"/>
      <c r="M123" s="234"/>
      <c r="N123" s="199"/>
      <c r="O123" s="200">
        <f t="shared" si="12"/>
        <v>0</v>
      </c>
      <c r="P123" s="199"/>
      <c r="Q123" s="201"/>
      <c r="R123" s="199"/>
      <c r="S123" s="201">
        <f t="shared" si="13"/>
        <v>0</v>
      </c>
    </row>
    <row r="124" spans="1:21" ht="12.75" customHeight="1">
      <c r="B124" s="186" t="s">
        <v>430</v>
      </c>
      <c r="F124" s="185"/>
      <c r="G124" s="234"/>
      <c r="H124" s="197"/>
      <c r="I124" s="198"/>
      <c r="J124" s="197"/>
      <c r="K124" s="198">
        <f t="shared" si="11"/>
        <v>0</v>
      </c>
      <c r="L124" s="197"/>
      <c r="M124" s="234"/>
      <c r="N124" s="199"/>
      <c r="O124" s="200">
        <f t="shared" si="12"/>
        <v>0</v>
      </c>
      <c r="P124" s="199"/>
      <c r="Q124" s="201"/>
      <c r="R124" s="199"/>
      <c r="S124" s="201">
        <f t="shared" si="13"/>
        <v>0</v>
      </c>
    </row>
    <row r="125" spans="1:21" ht="12.75" customHeight="1">
      <c r="B125" s="186" t="s">
        <v>431</v>
      </c>
      <c r="F125" s="185"/>
      <c r="G125" s="234"/>
      <c r="H125" s="197"/>
      <c r="I125" s="198"/>
      <c r="J125" s="197"/>
      <c r="K125" s="198">
        <f t="shared" si="11"/>
        <v>0</v>
      </c>
      <c r="L125" s="197"/>
      <c r="M125" s="234"/>
      <c r="N125" s="199"/>
      <c r="O125" s="200">
        <f t="shared" si="12"/>
        <v>0</v>
      </c>
      <c r="P125" s="199"/>
      <c r="Q125" s="201"/>
      <c r="R125" s="199"/>
      <c r="S125" s="201">
        <f t="shared" si="13"/>
        <v>0</v>
      </c>
    </row>
    <row r="126" spans="1:21" ht="12.75" customHeight="1">
      <c r="B126" s="186" t="s">
        <v>432</v>
      </c>
      <c r="F126" s="185"/>
      <c r="G126" s="234"/>
      <c r="H126" s="197"/>
      <c r="I126" s="198"/>
      <c r="J126" s="197"/>
      <c r="K126" s="198">
        <f t="shared" si="11"/>
        <v>0</v>
      </c>
      <c r="L126" s="197"/>
      <c r="M126" s="234"/>
      <c r="N126" s="199"/>
      <c r="O126" s="200">
        <f t="shared" si="12"/>
        <v>0</v>
      </c>
      <c r="P126" s="199"/>
      <c r="Q126" s="201"/>
      <c r="R126" s="199"/>
      <c r="S126" s="201">
        <f t="shared" si="13"/>
        <v>0</v>
      </c>
    </row>
    <row r="127" spans="1:21">
      <c r="B127" s="186" t="s">
        <v>290</v>
      </c>
      <c r="E127" s="235" t="str">
        <f>IF(OR(G127&lt;&gt;0, M127&lt;&gt;0),"Answer Required","N/A")</f>
        <v>N/A</v>
      </c>
      <c r="F127" s="185"/>
      <c r="G127" s="234"/>
      <c r="H127" s="197"/>
      <c r="I127" s="198"/>
      <c r="J127" s="197"/>
      <c r="K127" s="198">
        <f t="shared" si="11"/>
        <v>0</v>
      </c>
      <c r="L127" s="197"/>
      <c r="M127" s="234"/>
      <c r="N127" s="199"/>
      <c r="O127" s="200">
        <f t="shared" si="12"/>
        <v>0</v>
      </c>
      <c r="P127" s="199"/>
      <c r="Q127" s="201"/>
      <c r="R127" s="199"/>
      <c r="S127" s="201">
        <f t="shared" si="13"/>
        <v>0</v>
      </c>
    </row>
    <row r="128" spans="1:21" ht="12.75" customHeight="1">
      <c r="B128" s="186"/>
      <c r="C128" s="203" t="s">
        <v>359</v>
      </c>
      <c r="F128" s="185"/>
      <c r="G128" s="200">
        <f>SUM(G122:G127)</f>
        <v>0</v>
      </c>
      <c r="H128" s="199"/>
      <c r="I128" s="201">
        <f>SUM(I122:I127)</f>
        <v>0</v>
      </c>
      <c r="J128" s="199"/>
      <c r="K128" s="198">
        <f>IF(SUM(G128,I128)=SUM(K122:K127),SUM(K122:K127),"ERROR")</f>
        <v>0</v>
      </c>
      <c r="L128" s="199"/>
      <c r="M128" s="200">
        <f>SUM(M122:M127)</f>
        <v>0</v>
      </c>
      <c r="N128" s="199"/>
      <c r="O128" s="200">
        <f>IF(SUM(K128,M128)=SUM(O122:O127),SUM(O122:O127),"ERROR")</f>
        <v>0</v>
      </c>
      <c r="P128" s="199"/>
      <c r="Q128" s="201">
        <f>SUM(Q122:Q127)</f>
        <v>0</v>
      </c>
      <c r="R128" s="199"/>
      <c r="S128" s="201">
        <f>IF(SUM(O128,Q128)=SUM(S122:S127),SUM(S122:S127),"ERROR")</f>
        <v>0</v>
      </c>
    </row>
    <row r="129" spans="1:20" ht="12.75" customHeight="1" thickBot="1">
      <c r="B129" s="186"/>
      <c r="F129" s="185"/>
      <c r="G129" s="199"/>
      <c r="H129" s="199"/>
      <c r="I129" s="199"/>
      <c r="J129" s="199"/>
      <c r="K129" s="199"/>
      <c r="L129" s="199"/>
      <c r="M129" s="204"/>
      <c r="N129" s="199"/>
      <c r="O129" s="204"/>
      <c r="P129" s="199"/>
      <c r="Q129" s="204"/>
      <c r="R129" s="199"/>
      <c r="S129" s="199"/>
    </row>
    <row r="130" spans="1:20" ht="12.75" customHeight="1" thickBot="1">
      <c r="C130" s="209"/>
      <c r="E130" s="203" t="s">
        <v>445</v>
      </c>
      <c r="F130" s="185"/>
      <c r="G130" s="210">
        <f>SUM(G118:G120,G128)</f>
        <v>0</v>
      </c>
      <c r="H130" s="199"/>
      <c r="I130" s="211">
        <f>SUM(I118:I120,I128)</f>
        <v>0</v>
      </c>
      <c r="J130" s="199"/>
      <c r="K130" s="229">
        <f>IF(SUM(G130,I130)=SUM(K118:K120,K128),SUM(K118:K120,K128),"ERROR")</f>
        <v>0</v>
      </c>
      <c r="L130" s="199"/>
      <c r="M130" s="210">
        <f>SUM(M118:M120,M128)</f>
        <v>0</v>
      </c>
      <c r="N130" s="199"/>
      <c r="O130" s="210">
        <f>IF(SUM(K130,M130)=SUM(O118:O120,O128),SUM(O118:O120,O128),"ERROR")</f>
        <v>0</v>
      </c>
      <c r="P130" s="199"/>
      <c r="Q130" s="211">
        <f>SUM(Q118:Q120,Q128)</f>
        <v>0</v>
      </c>
      <c r="R130" s="199"/>
      <c r="S130" s="211">
        <f>IF(SUM(O130,Q130)=SUM(S118:S120,S128),SUM(S118:S120,S128),"ERROR")</f>
        <v>0</v>
      </c>
    </row>
    <row r="131" spans="1:20">
      <c r="C131" s="209"/>
      <c r="E131" s="203"/>
      <c r="F131" s="185"/>
      <c r="G131" s="199"/>
      <c r="H131" s="199"/>
      <c r="I131" s="199"/>
      <c r="J131" s="199"/>
      <c r="K131" s="199"/>
      <c r="L131" s="199"/>
      <c r="M131" s="199"/>
      <c r="N131" s="199"/>
      <c r="O131" s="199"/>
      <c r="P131" s="199"/>
      <c r="Q131" s="199"/>
      <c r="R131" s="199"/>
      <c r="S131" s="199"/>
    </row>
    <row r="132" spans="1:20" ht="12.75" customHeight="1">
      <c r="A132" s="188" t="s">
        <v>30</v>
      </c>
      <c r="F132" s="185"/>
      <c r="G132" s="199"/>
      <c r="H132" s="199"/>
      <c r="I132" s="199"/>
      <c r="J132" s="199"/>
      <c r="K132" s="199"/>
      <c r="L132" s="199"/>
      <c r="M132" s="204"/>
      <c r="N132" s="199"/>
      <c r="O132" s="204"/>
      <c r="P132" s="199"/>
      <c r="Q132" s="204"/>
      <c r="R132" s="199"/>
      <c r="S132" s="204"/>
    </row>
    <row r="133" spans="1:20" ht="12.75" customHeight="1">
      <c r="B133" s="209" t="s">
        <v>433</v>
      </c>
      <c r="F133" s="185"/>
      <c r="G133" s="234"/>
      <c r="H133" s="197"/>
      <c r="I133" s="198"/>
      <c r="J133" s="197"/>
      <c r="K133" s="198">
        <f t="shared" ref="K133:K138" si="14">G133+I133</f>
        <v>0</v>
      </c>
      <c r="L133" s="197"/>
      <c r="M133" s="234"/>
      <c r="N133" s="199"/>
      <c r="O133" s="200">
        <f t="shared" ref="O133:O138" si="15">SUM(K133,M133)</f>
        <v>0</v>
      </c>
      <c r="P133" s="199"/>
      <c r="Q133" s="201"/>
      <c r="R133" s="199"/>
      <c r="S133" s="201">
        <f t="shared" ref="S133:S138" si="16">SUM(O133,Q133)</f>
        <v>0</v>
      </c>
    </row>
    <row r="134" spans="1:20" ht="12.75" customHeight="1">
      <c r="B134" s="209" t="s">
        <v>434</v>
      </c>
      <c r="F134" s="185"/>
      <c r="G134" s="234"/>
      <c r="H134" s="197"/>
      <c r="I134" s="198"/>
      <c r="J134" s="197"/>
      <c r="K134" s="198">
        <f t="shared" si="14"/>
        <v>0</v>
      </c>
      <c r="L134" s="197"/>
      <c r="M134" s="234"/>
      <c r="N134" s="199"/>
      <c r="O134" s="200">
        <f t="shared" si="15"/>
        <v>0</v>
      </c>
      <c r="P134" s="199"/>
      <c r="Q134" s="201"/>
      <c r="R134" s="199"/>
      <c r="S134" s="201">
        <f t="shared" si="16"/>
        <v>0</v>
      </c>
      <c r="T134" s="185"/>
    </row>
    <row r="135" spans="1:20" ht="12.75" customHeight="1">
      <c r="B135" s="209" t="s">
        <v>435</v>
      </c>
      <c r="F135" s="185"/>
      <c r="G135" s="234"/>
      <c r="H135" s="197"/>
      <c r="I135" s="198"/>
      <c r="J135" s="197"/>
      <c r="K135" s="198">
        <f t="shared" si="14"/>
        <v>0</v>
      </c>
      <c r="L135" s="197"/>
      <c r="M135" s="234"/>
      <c r="N135" s="199"/>
      <c r="O135" s="200">
        <f t="shared" si="15"/>
        <v>0</v>
      </c>
      <c r="P135" s="199"/>
      <c r="Q135" s="201"/>
      <c r="R135" s="199"/>
      <c r="S135" s="201">
        <f t="shared" si="16"/>
        <v>0</v>
      </c>
      <c r="T135" s="185"/>
    </row>
    <row r="136" spans="1:20" ht="12.75" customHeight="1">
      <c r="B136" s="209" t="s">
        <v>436</v>
      </c>
      <c r="F136" s="185"/>
      <c r="G136" s="234"/>
      <c r="H136" s="197"/>
      <c r="I136" s="198"/>
      <c r="J136" s="197"/>
      <c r="K136" s="198">
        <f t="shared" si="14"/>
        <v>0</v>
      </c>
      <c r="L136" s="197"/>
      <c r="M136" s="234"/>
      <c r="N136" s="199"/>
      <c r="O136" s="200">
        <f t="shared" si="15"/>
        <v>0</v>
      </c>
      <c r="P136" s="199"/>
      <c r="Q136" s="201"/>
      <c r="R136" s="199"/>
      <c r="S136" s="201">
        <f t="shared" si="16"/>
        <v>0</v>
      </c>
      <c r="T136" s="185"/>
    </row>
    <row r="137" spans="1:20" ht="12.75" customHeight="1">
      <c r="B137" s="209" t="s">
        <v>437</v>
      </c>
      <c r="F137" s="185"/>
      <c r="G137" s="234"/>
      <c r="H137" s="197"/>
      <c r="I137" s="198"/>
      <c r="J137" s="197"/>
      <c r="K137" s="198">
        <f t="shared" si="14"/>
        <v>0</v>
      </c>
      <c r="L137" s="197"/>
      <c r="M137" s="234"/>
      <c r="N137" s="199"/>
      <c r="O137" s="200">
        <f t="shared" si="15"/>
        <v>0</v>
      </c>
      <c r="P137" s="199"/>
      <c r="Q137" s="201"/>
      <c r="R137" s="199"/>
      <c r="S137" s="201">
        <f t="shared" si="16"/>
        <v>0</v>
      </c>
      <c r="T137" s="185"/>
    </row>
    <row r="138" spans="1:20" ht="12.75" customHeight="1">
      <c r="B138" s="209" t="s">
        <v>438</v>
      </c>
      <c r="F138" s="185"/>
      <c r="G138" s="234"/>
      <c r="H138" s="197"/>
      <c r="I138" s="198"/>
      <c r="J138" s="197"/>
      <c r="K138" s="198">
        <f t="shared" si="14"/>
        <v>0</v>
      </c>
      <c r="L138" s="197"/>
      <c r="M138" s="234"/>
      <c r="N138" s="199"/>
      <c r="O138" s="200">
        <f t="shared" si="15"/>
        <v>0</v>
      </c>
      <c r="P138" s="199"/>
      <c r="Q138" s="201"/>
      <c r="R138" s="199"/>
      <c r="S138" s="201">
        <f t="shared" si="16"/>
        <v>0</v>
      </c>
      <c r="T138" s="185"/>
    </row>
    <row r="139" spans="1:20" ht="12.75" customHeight="1">
      <c r="B139" s="209"/>
      <c r="F139" s="185"/>
      <c r="G139" s="199"/>
      <c r="H139" s="199"/>
      <c r="I139" s="199"/>
      <c r="J139" s="199"/>
      <c r="K139" s="199"/>
      <c r="L139" s="199"/>
      <c r="M139" s="204"/>
      <c r="N139" s="199"/>
      <c r="O139" s="204"/>
      <c r="P139" s="199"/>
      <c r="Q139" s="204"/>
      <c r="R139" s="199"/>
      <c r="S139" s="204"/>
      <c r="T139" s="185"/>
    </row>
    <row r="140" spans="1:20" ht="12.75" hidden="1" customHeight="1">
      <c r="B140" s="186" t="s">
        <v>439</v>
      </c>
      <c r="F140" s="185"/>
      <c r="G140" s="199"/>
      <c r="H140" s="199"/>
      <c r="I140" s="199"/>
      <c r="J140" s="199"/>
      <c r="K140" s="199"/>
      <c r="L140" s="199"/>
      <c r="M140" s="204"/>
      <c r="N140" s="199"/>
      <c r="O140" s="204"/>
      <c r="P140" s="199"/>
      <c r="Q140" s="204"/>
      <c r="R140" s="199"/>
      <c r="S140" s="204"/>
      <c r="T140" s="185"/>
    </row>
    <row r="141" spans="1:20" ht="12.75" hidden="1" customHeight="1">
      <c r="B141" s="209"/>
      <c r="C141" s="209" t="s">
        <v>440</v>
      </c>
      <c r="F141" s="185"/>
      <c r="G141" s="201"/>
      <c r="H141" s="199"/>
      <c r="I141" s="201"/>
      <c r="J141" s="199"/>
      <c r="K141" s="201">
        <f>SUM(G141,I141)</f>
        <v>0</v>
      </c>
      <c r="L141" s="199"/>
      <c r="M141" s="201"/>
      <c r="N141" s="199"/>
      <c r="O141" s="201">
        <f>SUM(K141,M141)</f>
        <v>0</v>
      </c>
      <c r="P141" s="199"/>
      <c r="Q141" s="201"/>
      <c r="R141" s="199"/>
      <c r="S141" s="201">
        <f>SUM(O141,Q141)</f>
        <v>0</v>
      </c>
      <c r="T141" s="185"/>
    </row>
    <row r="142" spans="1:20" ht="12.75" hidden="1" customHeight="1">
      <c r="B142" s="209"/>
      <c r="C142" s="209" t="s">
        <v>441</v>
      </c>
      <c r="F142" s="185"/>
      <c r="G142" s="201"/>
      <c r="H142" s="199"/>
      <c r="I142" s="201"/>
      <c r="J142" s="199"/>
      <c r="K142" s="201">
        <f>SUM(G142,I142)</f>
        <v>0</v>
      </c>
      <c r="L142" s="199"/>
      <c r="M142" s="201"/>
      <c r="N142" s="199"/>
      <c r="O142" s="201">
        <f>SUM(K142,M142)</f>
        <v>0</v>
      </c>
      <c r="P142" s="199"/>
      <c r="Q142" s="201"/>
      <c r="R142" s="199"/>
      <c r="S142" s="201">
        <f>SUM(O142,Q142)</f>
        <v>0</v>
      </c>
      <c r="T142" s="185"/>
    </row>
    <row r="143" spans="1:20" ht="12.75" customHeight="1" thickBot="1">
      <c r="B143" s="209"/>
      <c r="C143" s="203"/>
      <c r="F143" s="185"/>
      <c r="G143" s="199"/>
      <c r="H143" s="199"/>
      <c r="I143" s="199"/>
      <c r="J143" s="199"/>
      <c r="K143" s="199"/>
      <c r="L143" s="199"/>
      <c r="M143" s="204"/>
      <c r="N143" s="199"/>
      <c r="O143" s="204"/>
      <c r="P143" s="199"/>
      <c r="Q143" s="204"/>
      <c r="R143" s="199"/>
      <c r="S143" s="204"/>
      <c r="T143" s="185"/>
    </row>
    <row r="144" spans="1:20" ht="12.75" customHeight="1" thickBot="1">
      <c r="C144" s="209"/>
      <c r="E144" s="203" t="s">
        <v>444</v>
      </c>
      <c r="F144" s="185"/>
      <c r="G144" s="210">
        <f>SUM(G133:G138)</f>
        <v>0</v>
      </c>
      <c r="H144" s="199"/>
      <c r="I144" s="211">
        <f>SUM(I133:I138, I141:I142)</f>
        <v>0</v>
      </c>
      <c r="J144" s="199"/>
      <c r="K144" s="229">
        <f>IF(SUM(G144,I144)=SUM(K133:K138),SUM(K133:K138),"ERROR")</f>
        <v>0</v>
      </c>
      <c r="L144" s="199"/>
      <c r="M144" s="210">
        <f>SUM(M133:M138)</f>
        <v>0</v>
      </c>
      <c r="N144" s="199"/>
      <c r="O144" s="210">
        <f>IF(SUM(K144,M144)=SUM(O133:O138),SUM(O133:O138),"ERROR")</f>
        <v>0</v>
      </c>
      <c r="P144" s="199"/>
      <c r="Q144" s="211">
        <f>SUM(Q133:Q138, Q141:Q142)</f>
        <v>0</v>
      </c>
      <c r="R144" s="199"/>
      <c r="S144" s="211">
        <f>IF(SUM(O144,Q144)=SUM(S133:S138,S141:S142),SUM(S133:S138,S141:S142),"ERROR")</f>
        <v>0</v>
      </c>
      <c r="T144" s="185"/>
    </row>
    <row r="145" spans="1:21" ht="12.75" customHeight="1" thickBot="1">
      <c r="C145" s="209"/>
      <c r="F145" s="185"/>
      <c r="G145" s="199"/>
      <c r="H145" s="199"/>
      <c r="I145" s="199"/>
      <c r="J145" s="199"/>
      <c r="K145" s="199"/>
      <c r="L145" s="199"/>
      <c r="M145" s="204"/>
      <c r="N145" s="199"/>
      <c r="O145" s="204"/>
      <c r="P145" s="199"/>
      <c r="Q145" s="204"/>
      <c r="R145" s="199"/>
      <c r="S145" s="204"/>
      <c r="T145" s="185"/>
    </row>
    <row r="146" spans="1:21" ht="12.75" customHeight="1" thickBot="1">
      <c r="D146" s="209"/>
      <c r="E146" s="203" t="s">
        <v>446</v>
      </c>
      <c r="F146" s="185"/>
      <c r="G146" s="210">
        <f>G130-G144</f>
        <v>0</v>
      </c>
      <c r="H146" s="199"/>
      <c r="I146" s="211">
        <f>I130-I144</f>
        <v>0</v>
      </c>
      <c r="J146" s="199"/>
      <c r="K146" s="229">
        <f>IF(SUM(G146,I146)=SUM(K130,-K144),SUM(K130,-K144),"ERROR")</f>
        <v>0</v>
      </c>
      <c r="L146" s="199"/>
      <c r="M146" s="210">
        <f>M130-M144</f>
        <v>0</v>
      </c>
      <c r="N146" s="199"/>
      <c r="O146" s="210">
        <f>IF(SUM(K146,M146)=SUM(O130,-O144),SUM(O130,-O144),"ERROR")</f>
        <v>0</v>
      </c>
      <c r="P146" s="199"/>
      <c r="Q146" s="211">
        <f>Q130-Q144</f>
        <v>0</v>
      </c>
      <c r="R146" s="199"/>
      <c r="S146" s="211">
        <f>IF(SUM(O146,Q146)=SUM(S130,-S144),SUM(S130,-S144),"ERROR")</f>
        <v>0</v>
      </c>
      <c r="T146" s="185"/>
    </row>
    <row r="147" spans="1:21" ht="12.75" customHeight="1">
      <c r="F147" s="185"/>
      <c r="G147" s="199"/>
      <c r="H147" s="199"/>
      <c r="I147" s="199"/>
      <c r="J147" s="199"/>
      <c r="K147" s="199"/>
      <c r="L147" s="199"/>
      <c r="M147" s="204"/>
      <c r="N147" s="199"/>
      <c r="O147" s="204"/>
      <c r="P147" s="199"/>
      <c r="Q147" s="204"/>
      <c r="R147" s="199"/>
      <c r="S147" s="204"/>
      <c r="T147" s="185"/>
    </row>
    <row r="148" spans="1:21" ht="12">
      <c r="A148" s="209" t="s">
        <v>292</v>
      </c>
      <c r="E148" s="235" t="str">
        <f t="shared" ref="E148:E149" si="17">IF(OR(G148&lt;&gt;0, M148&lt;&gt;0),"Answer Required","N/A")</f>
        <v>N/A</v>
      </c>
      <c r="F148" s="185"/>
      <c r="G148" s="237"/>
      <c r="H148" s="199"/>
      <c r="I148" s="201"/>
      <c r="J148" s="199"/>
      <c r="K148" s="198">
        <f t="shared" ref="K148:K149" si="18">G148+I148</f>
        <v>0</v>
      </c>
      <c r="L148" s="199"/>
      <c r="M148" s="237"/>
      <c r="N148" s="199"/>
      <c r="O148" s="205">
        <f t="shared" ref="O148:O160" si="19">SUM(K148,M148)</f>
        <v>0</v>
      </c>
      <c r="P148" s="199"/>
      <c r="Q148" s="201"/>
      <c r="R148" s="199"/>
      <c r="S148" s="201">
        <f>SUM(O148,Q148)</f>
        <v>0</v>
      </c>
      <c r="T148" s="185"/>
      <c r="U148" s="216"/>
    </row>
    <row r="149" spans="1:21" ht="12">
      <c r="A149" s="209" t="s">
        <v>293</v>
      </c>
      <c r="E149" s="235" t="str">
        <f t="shared" si="17"/>
        <v>N/A</v>
      </c>
      <c r="F149" s="185"/>
      <c r="G149" s="236"/>
      <c r="H149" s="199"/>
      <c r="I149" s="201"/>
      <c r="J149" s="199"/>
      <c r="K149" s="198">
        <f t="shared" si="18"/>
        <v>0</v>
      </c>
      <c r="L149" s="199"/>
      <c r="M149" s="236"/>
      <c r="N149" s="199"/>
      <c r="O149" s="200">
        <f t="shared" si="19"/>
        <v>0</v>
      </c>
      <c r="P149" s="199"/>
      <c r="Q149" s="201"/>
      <c r="R149" s="199"/>
      <c r="S149" s="201">
        <f>SUM(O149,Q149)</f>
        <v>0</v>
      </c>
      <c r="T149" s="185"/>
      <c r="U149" s="216"/>
    </row>
    <row r="150" spans="1:21" ht="12.75" customHeight="1">
      <c r="A150" s="209"/>
      <c r="E150" s="207"/>
      <c r="F150" s="185"/>
      <c r="G150" s="197"/>
      <c r="H150" s="197"/>
      <c r="I150" s="197"/>
      <c r="J150" s="197"/>
      <c r="K150" s="197"/>
      <c r="L150" s="197"/>
      <c r="M150" s="199"/>
      <c r="N150" s="199"/>
      <c r="O150" s="199"/>
      <c r="P150" s="199"/>
      <c r="Q150" s="199"/>
      <c r="R150" s="199"/>
      <c r="S150" s="199"/>
      <c r="T150" s="185"/>
      <c r="U150" s="216"/>
    </row>
    <row r="151" spans="1:21" ht="12.75" customHeight="1">
      <c r="A151" s="188" t="s">
        <v>296</v>
      </c>
      <c r="E151" s="207"/>
      <c r="F151" s="185"/>
      <c r="G151" s="197"/>
      <c r="H151" s="197"/>
      <c r="I151" s="197"/>
      <c r="J151" s="197"/>
      <c r="K151" s="197"/>
      <c r="L151" s="197"/>
      <c r="M151" s="197"/>
      <c r="N151" s="199"/>
      <c r="O151" s="199"/>
      <c r="P151" s="199"/>
      <c r="Q151" s="199"/>
      <c r="R151" s="199"/>
      <c r="S151" s="199"/>
      <c r="T151" s="185"/>
      <c r="U151" s="216"/>
    </row>
    <row r="152" spans="1:21" ht="12.75" customHeight="1">
      <c r="A152" s="209" t="s">
        <v>284</v>
      </c>
      <c r="E152" s="207"/>
      <c r="F152" s="185"/>
      <c r="G152" s="234"/>
      <c r="H152" s="197"/>
      <c r="I152" s="198"/>
      <c r="J152" s="197"/>
      <c r="K152" s="198">
        <f t="shared" ref="K152:K155" si="20">G152+I152</f>
        <v>0</v>
      </c>
      <c r="L152" s="197"/>
      <c r="M152" s="234"/>
      <c r="N152" s="199"/>
      <c r="O152" s="200">
        <f t="shared" si="19"/>
        <v>0</v>
      </c>
      <c r="P152" s="199"/>
      <c r="Q152" s="201"/>
      <c r="R152" s="199"/>
      <c r="S152" s="201">
        <f t="shared" ref="S152:S160" si="21">SUM(O152,Q152)</f>
        <v>0</v>
      </c>
      <c r="T152" s="185"/>
      <c r="U152" s="216"/>
    </row>
    <row r="153" spans="1:21" ht="12.75" customHeight="1">
      <c r="A153" s="209" t="s">
        <v>285</v>
      </c>
      <c r="E153" s="207"/>
      <c r="F153" s="185"/>
      <c r="G153" s="200"/>
      <c r="H153" s="199"/>
      <c r="I153" s="201"/>
      <c r="J153" s="199"/>
      <c r="K153" s="198">
        <f t="shared" si="20"/>
        <v>0</v>
      </c>
      <c r="L153" s="199"/>
      <c r="M153" s="200"/>
      <c r="N153" s="199"/>
      <c r="O153" s="223">
        <f>SUM(K153,M153)</f>
        <v>0</v>
      </c>
      <c r="P153" s="199"/>
      <c r="Q153" s="201"/>
      <c r="R153" s="199"/>
      <c r="S153" s="201">
        <f t="shared" si="21"/>
        <v>0</v>
      </c>
      <c r="T153" s="185"/>
      <c r="U153" s="216"/>
    </row>
    <row r="154" spans="1:21" ht="12.75" customHeight="1">
      <c r="A154" s="209" t="s">
        <v>68</v>
      </c>
      <c r="F154" s="185"/>
      <c r="G154" s="234"/>
      <c r="H154" s="197"/>
      <c r="I154" s="198"/>
      <c r="J154" s="197"/>
      <c r="K154" s="198">
        <f t="shared" si="20"/>
        <v>0</v>
      </c>
      <c r="L154" s="197"/>
      <c r="M154" s="234"/>
      <c r="N154" s="199"/>
      <c r="O154" s="200">
        <f t="shared" si="19"/>
        <v>0</v>
      </c>
      <c r="P154" s="199"/>
      <c r="Q154" s="201"/>
      <c r="R154" s="199"/>
      <c r="S154" s="201">
        <f t="shared" si="21"/>
        <v>0</v>
      </c>
      <c r="T154" s="185"/>
      <c r="U154" s="202" t="s">
        <v>274</v>
      </c>
    </row>
    <row r="155" spans="1:21" ht="12.75" customHeight="1">
      <c r="A155" s="209" t="s">
        <v>69</v>
      </c>
      <c r="F155" s="185"/>
      <c r="G155" s="236"/>
      <c r="H155" s="199"/>
      <c r="I155" s="201"/>
      <c r="J155" s="199"/>
      <c r="K155" s="198">
        <f t="shared" si="20"/>
        <v>0</v>
      </c>
      <c r="L155" s="199"/>
      <c r="M155" s="236"/>
      <c r="N155" s="199"/>
      <c r="O155" s="200">
        <f t="shared" si="19"/>
        <v>0</v>
      </c>
      <c r="P155" s="199"/>
      <c r="Q155" s="201"/>
      <c r="R155" s="199"/>
      <c r="S155" s="201">
        <f t="shared" si="21"/>
        <v>0</v>
      </c>
      <c r="T155" s="185"/>
      <c r="U155" s="202" t="s">
        <v>274</v>
      </c>
    </row>
    <row r="156" spans="1:21" ht="12.75" hidden="1" customHeight="1">
      <c r="A156" s="209" t="s">
        <v>61</v>
      </c>
      <c r="F156" s="185"/>
      <c r="G156" s="201"/>
      <c r="H156" s="199"/>
      <c r="I156" s="201"/>
      <c r="J156" s="199"/>
      <c r="K156" s="201"/>
      <c r="L156" s="199"/>
      <c r="M156" s="201"/>
      <c r="N156" s="199"/>
      <c r="O156" s="201">
        <f t="shared" si="19"/>
        <v>0</v>
      </c>
      <c r="P156" s="199"/>
      <c r="Q156" s="201"/>
      <c r="R156" s="199"/>
      <c r="S156" s="201">
        <f t="shared" si="21"/>
        <v>0</v>
      </c>
      <c r="T156" s="185"/>
      <c r="U156" s="202"/>
    </row>
    <row r="157" spans="1:21" ht="12.75" hidden="1" customHeight="1">
      <c r="A157" s="209" t="s">
        <v>205</v>
      </c>
      <c r="F157" s="185"/>
      <c r="G157" s="201"/>
      <c r="H157" s="199"/>
      <c r="I157" s="201"/>
      <c r="J157" s="199"/>
      <c r="K157" s="201"/>
      <c r="L157" s="199"/>
      <c r="M157" s="201"/>
      <c r="N157" s="199"/>
      <c r="O157" s="201">
        <f t="shared" si="19"/>
        <v>0</v>
      </c>
      <c r="P157" s="199"/>
      <c r="Q157" s="201"/>
      <c r="R157" s="199"/>
      <c r="S157" s="201">
        <f t="shared" si="21"/>
        <v>0</v>
      </c>
      <c r="T157" s="185"/>
      <c r="U157" s="202"/>
    </row>
    <row r="158" spans="1:21" ht="12.75" hidden="1" customHeight="1">
      <c r="A158" s="209" t="s">
        <v>62</v>
      </c>
      <c r="F158" s="185"/>
      <c r="G158" s="201"/>
      <c r="H158" s="199"/>
      <c r="I158" s="201"/>
      <c r="J158" s="199"/>
      <c r="K158" s="201"/>
      <c r="L158" s="199"/>
      <c r="M158" s="201"/>
      <c r="N158" s="199"/>
      <c r="O158" s="201">
        <f t="shared" si="19"/>
        <v>0</v>
      </c>
      <c r="P158" s="199"/>
      <c r="Q158" s="201"/>
      <c r="R158" s="199"/>
      <c r="S158" s="201">
        <f t="shared" si="21"/>
        <v>0</v>
      </c>
      <c r="T158" s="185"/>
      <c r="U158" s="202"/>
    </row>
    <row r="159" spans="1:21" ht="12.75" hidden="1" customHeight="1">
      <c r="A159" s="209" t="s">
        <v>207</v>
      </c>
      <c r="F159" s="185"/>
      <c r="G159" s="201"/>
      <c r="H159" s="199"/>
      <c r="I159" s="201"/>
      <c r="J159" s="199"/>
      <c r="K159" s="201"/>
      <c r="L159" s="199"/>
      <c r="M159" s="201"/>
      <c r="N159" s="199"/>
      <c r="O159" s="201">
        <f t="shared" si="19"/>
        <v>0</v>
      </c>
      <c r="P159" s="199"/>
      <c r="Q159" s="201"/>
      <c r="R159" s="199"/>
      <c r="S159" s="201">
        <f t="shared" si="21"/>
        <v>0</v>
      </c>
      <c r="T159" s="185"/>
      <c r="U159" s="202"/>
    </row>
    <row r="160" spans="1:21" ht="12.75" hidden="1" customHeight="1">
      <c r="A160" s="209" t="s">
        <v>63</v>
      </c>
      <c r="F160" s="185"/>
      <c r="G160" s="201"/>
      <c r="H160" s="199"/>
      <c r="I160" s="201"/>
      <c r="J160" s="199"/>
      <c r="K160" s="201"/>
      <c r="L160" s="199"/>
      <c r="M160" s="201"/>
      <c r="N160" s="199"/>
      <c r="O160" s="201">
        <f t="shared" si="19"/>
        <v>0</v>
      </c>
      <c r="P160" s="199"/>
      <c r="Q160" s="201"/>
      <c r="R160" s="199"/>
      <c r="S160" s="201">
        <f t="shared" si="21"/>
        <v>0</v>
      </c>
      <c r="T160" s="185"/>
      <c r="U160" s="202"/>
    </row>
    <row r="161" spans="1:21" ht="12.75" customHeight="1" thickBot="1">
      <c r="A161" s="209"/>
      <c r="F161" s="185"/>
      <c r="G161" s="199"/>
      <c r="H161" s="199"/>
      <c r="I161" s="199"/>
      <c r="J161" s="199"/>
      <c r="K161" s="199"/>
      <c r="L161" s="199"/>
      <c r="M161" s="199"/>
      <c r="N161" s="199"/>
      <c r="O161" s="199"/>
      <c r="P161" s="199"/>
      <c r="Q161" s="199"/>
      <c r="R161" s="199"/>
      <c r="S161" s="199"/>
      <c r="T161" s="185"/>
      <c r="U161" s="202"/>
    </row>
    <row r="162" spans="1:21" ht="12.75" customHeight="1" thickBot="1">
      <c r="D162" s="209"/>
      <c r="E162" s="203" t="s">
        <v>447</v>
      </c>
      <c r="F162" s="185"/>
      <c r="G162" s="210">
        <f>SUM(G146,G148:G149,G152:G155)</f>
        <v>0</v>
      </c>
      <c r="H162" s="199"/>
      <c r="I162" s="211">
        <f>SUM(I146,I148:I149,I152:I160)</f>
        <v>0</v>
      </c>
      <c r="J162" s="199"/>
      <c r="K162" s="229">
        <f>IF(SUM(G162,I162)=SUM(K146,K148:K149,K152:K160),SUM(K146,K148:K149,K152:K160),"ERROR")</f>
        <v>0</v>
      </c>
      <c r="L162" s="199"/>
      <c r="M162" s="210">
        <f>SUM(M146,M148:M149,M152:M155)</f>
        <v>0</v>
      </c>
      <c r="N162" s="199"/>
      <c r="O162" s="210">
        <f>IF(SUM(K162,M162)=SUM(O146,O148:O149,O152:O160),SUM(O146,O148:O149,O152:O160),"ERROR")</f>
        <v>0</v>
      </c>
      <c r="P162" s="199"/>
      <c r="Q162" s="211">
        <f>SUM(Q146,Q148:Q149,Q152:Q160)</f>
        <v>0</v>
      </c>
      <c r="R162" s="199"/>
      <c r="S162" s="211">
        <f>IF(SUM(O162,Q162)=SUM(S146,S148:S149,S152:S160),SUM(S146,S148:S149,S152:S160),"ERROR")</f>
        <v>0</v>
      </c>
      <c r="T162" s="185"/>
      <c r="U162" s="202"/>
    </row>
    <row r="163" spans="1:21" ht="12.75" customHeight="1">
      <c r="D163" s="209"/>
      <c r="E163" s="203"/>
      <c r="F163" s="185"/>
      <c r="G163" s="199"/>
      <c r="H163" s="199"/>
      <c r="I163" s="199"/>
      <c r="J163" s="199"/>
      <c r="K163" s="199"/>
      <c r="L163" s="199"/>
      <c r="M163" s="199"/>
      <c r="N163" s="199"/>
      <c r="O163" s="199"/>
      <c r="P163" s="199"/>
      <c r="Q163" s="199"/>
      <c r="R163" s="199"/>
      <c r="S163" s="199"/>
      <c r="T163" s="185"/>
      <c r="U163" s="202"/>
    </row>
    <row r="164" spans="1:21" ht="12.75" customHeight="1">
      <c r="A164" s="209" t="s">
        <v>449</v>
      </c>
      <c r="F164" s="185"/>
      <c r="G164" s="200">
        <f>IF(ISNA('Tab 6-Restatements'!D36),"",('Tab 6-Restatements'!D36))</f>
        <v>0</v>
      </c>
      <c r="H164" s="199"/>
      <c r="I164" s="201"/>
      <c r="J164" s="199"/>
      <c r="K164" s="198">
        <f>SUM(G164,I164)</f>
        <v>0</v>
      </c>
      <c r="L164" s="199"/>
      <c r="M164" s="200">
        <f>IF(ISNA('Tab 6-Restatements'!F36),"",('Tab 6-Restatements'!F36))</f>
        <v>0</v>
      </c>
      <c r="N164" s="199"/>
      <c r="O164" s="200">
        <f>SUM(K164,M164)</f>
        <v>0</v>
      </c>
      <c r="P164" s="199"/>
      <c r="Q164" s="201"/>
      <c r="R164" s="199"/>
      <c r="S164" s="201">
        <f>SUM(O164,Q164)</f>
        <v>0</v>
      </c>
      <c r="T164" s="185"/>
      <c r="U164" s="202" t="s">
        <v>219</v>
      </c>
    </row>
    <row r="165" spans="1:21" ht="12.75" customHeight="1" thickBot="1">
      <c r="A165" s="209"/>
      <c r="F165" s="185"/>
      <c r="G165" s="199"/>
      <c r="H165" s="199"/>
      <c r="I165" s="199"/>
      <c r="J165" s="199"/>
      <c r="K165" s="199"/>
      <c r="L165" s="199"/>
      <c r="M165" s="199"/>
      <c r="N165" s="199"/>
      <c r="O165" s="199"/>
      <c r="P165" s="199"/>
      <c r="Q165" s="199"/>
      <c r="R165" s="199"/>
      <c r="S165" s="199"/>
      <c r="T165" s="185"/>
      <c r="U165" s="216"/>
    </row>
    <row r="166" spans="1:21" ht="12.75" customHeight="1" thickBot="1">
      <c r="A166" s="209"/>
      <c r="E166" s="203" t="s">
        <v>448</v>
      </c>
      <c r="F166" s="185"/>
      <c r="G166" s="210">
        <f>IF(SUM(G162,G164)=G106,SUM(G162,G164),"ERROR")</f>
        <v>0</v>
      </c>
      <c r="H166" s="199"/>
      <c r="I166" s="211">
        <f>IF(SUM(I162,I164)=I106,SUM(I162,I164),"ERROR")</f>
        <v>0</v>
      </c>
      <c r="J166" s="199"/>
      <c r="K166" s="229">
        <f>IF(SUM(K162,K164)=K106,SUM(K162,K164),"ERROR")</f>
        <v>0</v>
      </c>
      <c r="L166" s="199"/>
      <c r="M166" s="210">
        <f>IF(SUM(M162,M164)=M106,SUM(M162,M164),"ERROR")</f>
        <v>0</v>
      </c>
      <c r="N166" s="199"/>
      <c r="O166" s="210">
        <f>IF(SUM(O162,O164)=O106,SUM(O162,O164),"ERROR")</f>
        <v>0</v>
      </c>
      <c r="P166" s="199"/>
      <c r="Q166" s="211">
        <f>IF(SUM(Q162,Q164)=Q106,SUM(Q162,Q164),"ERROR")</f>
        <v>0</v>
      </c>
      <c r="R166" s="199"/>
      <c r="S166" s="211">
        <f>IF(SUM(S162,S164)=S106,SUM(S162,S164),"ERROR")</f>
        <v>0</v>
      </c>
      <c r="T166" s="185"/>
      <c r="U166" s="199"/>
    </row>
    <row r="167" spans="1:21" ht="12.75" customHeight="1" thickBot="1">
      <c r="A167" s="186"/>
      <c r="F167" s="185"/>
      <c r="G167" s="213"/>
      <c r="H167" s="213"/>
      <c r="I167" s="213"/>
      <c r="J167" s="213"/>
      <c r="K167" s="213"/>
      <c r="L167" s="213"/>
      <c r="T167" s="185"/>
    </row>
    <row r="168" spans="1:21" ht="12.75" customHeight="1" thickBot="1">
      <c r="A168" s="186"/>
      <c r="E168" s="224" t="s">
        <v>308</v>
      </c>
      <c r="F168" s="185"/>
      <c r="G168" s="225">
        <f>(SUM(G162,G164))-G106</f>
        <v>0</v>
      </c>
      <c r="H168" s="880"/>
      <c r="I168" s="880"/>
      <c r="J168" s="880"/>
      <c r="K168" s="880"/>
      <c r="L168" s="880"/>
      <c r="M168" s="225">
        <f>(SUM(M162,M164))-M106</f>
        <v>0</v>
      </c>
      <c r="N168" s="189"/>
      <c r="O168" s="225">
        <f>(SUM(O162,O164))-O106</f>
        <v>0</v>
      </c>
      <c r="T168" s="185"/>
    </row>
    <row r="169" spans="1:21" ht="12.75" customHeight="1">
      <c r="A169" s="186"/>
      <c r="F169" s="185"/>
      <c r="G169" s="213"/>
      <c r="H169" s="213"/>
      <c r="I169" s="213"/>
      <c r="J169" s="213"/>
      <c r="K169" s="213"/>
      <c r="L169" s="213"/>
      <c r="T169" s="185"/>
    </row>
    <row r="170" spans="1:21" ht="12.75" customHeight="1">
      <c r="A170" s="186"/>
      <c r="F170" s="185"/>
      <c r="G170" s="213"/>
      <c r="H170" s="213"/>
      <c r="I170" s="213"/>
      <c r="J170" s="213"/>
      <c r="K170" s="213"/>
      <c r="L170" s="213"/>
      <c r="T170" s="185"/>
    </row>
    <row r="171" spans="1:21" ht="12.75" customHeight="1">
      <c r="A171" s="186"/>
      <c r="F171" s="185"/>
      <c r="G171" s="213"/>
      <c r="H171" s="213"/>
      <c r="I171" s="213"/>
      <c r="J171" s="213"/>
      <c r="K171" s="213"/>
      <c r="L171" s="213"/>
      <c r="T171" s="185"/>
    </row>
    <row r="172" spans="1:21" ht="12.75" customHeight="1">
      <c r="A172" s="186"/>
      <c r="F172" s="185"/>
      <c r="G172" s="213"/>
      <c r="H172" s="213"/>
      <c r="I172" s="213"/>
      <c r="J172" s="213"/>
      <c r="K172" s="213"/>
      <c r="L172" s="213"/>
      <c r="T172" s="185"/>
    </row>
    <row r="173" spans="1:21" ht="12.75" customHeight="1">
      <c r="A173" s="186"/>
      <c r="F173" s="185"/>
      <c r="G173" s="213"/>
      <c r="H173" s="213"/>
      <c r="I173" s="213"/>
      <c r="J173" s="213"/>
      <c r="K173" s="213"/>
      <c r="L173" s="213"/>
      <c r="T173" s="185"/>
    </row>
    <row r="174" spans="1:21" ht="12.75" customHeight="1">
      <c r="A174" s="186"/>
      <c r="F174" s="185"/>
      <c r="G174" s="213"/>
      <c r="H174" s="213"/>
      <c r="I174" s="213"/>
      <c r="J174" s="213"/>
      <c r="K174" s="213"/>
      <c r="L174" s="213"/>
      <c r="T174" s="185"/>
    </row>
    <row r="175" spans="1:21" ht="12.75" customHeight="1">
      <c r="A175" s="186"/>
      <c r="F175" s="185"/>
      <c r="G175" s="213"/>
      <c r="H175" s="213"/>
      <c r="I175" s="213"/>
      <c r="J175" s="213"/>
      <c r="K175" s="213"/>
      <c r="L175" s="213"/>
      <c r="T175" s="185"/>
    </row>
    <row r="176" spans="1:21" ht="12.75" customHeight="1">
      <c r="A176" s="186"/>
      <c r="F176" s="185"/>
      <c r="G176" s="213"/>
      <c r="H176" s="213"/>
      <c r="I176" s="213"/>
      <c r="J176" s="213"/>
      <c r="K176" s="213"/>
      <c r="L176" s="213"/>
      <c r="T176" s="185"/>
    </row>
    <row r="177" spans="1:20" ht="12.75" customHeight="1">
      <c r="A177" s="186"/>
      <c r="F177" s="185"/>
      <c r="G177" s="213"/>
      <c r="H177" s="213"/>
      <c r="I177" s="213"/>
      <c r="J177" s="213"/>
      <c r="K177" s="213"/>
      <c r="L177" s="213"/>
      <c r="T177" s="185"/>
    </row>
    <row r="178" spans="1:20" ht="12.75" customHeight="1">
      <c r="F178" s="185"/>
      <c r="T178" s="185"/>
    </row>
    <row r="179" spans="1:20" ht="12">
      <c r="F179" s="185"/>
      <c r="T179" s="185"/>
    </row>
    <row r="180" spans="1:20" ht="12.75" customHeight="1">
      <c r="F180" s="185"/>
      <c r="T180" s="185"/>
    </row>
    <row r="181" spans="1:20" ht="12.75" customHeight="1">
      <c r="F181" s="185"/>
      <c r="T181" s="185"/>
    </row>
    <row r="182" spans="1:20" ht="12.75" customHeight="1">
      <c r="T182" s="185"/>
    </row>
    <row r="183" spans="1:20" ht="12.75" hidden="1" customHeight="1">
      <c r="D183" s="3" t="s">
        <v>499</v>
      </c>
      <c r="T183" s="185"/>
    </row>
    <row r="184" spans="1:20" ht="12.75" hidden="1" customHeight="1">
      <c r="D184" s="3" t="s">
        <v>2887</v>
      </c>
      <c r="F184" s="185"/>
      <c r="T184" s="185"/>
    </row>
    <row r="185" spans="1:20" ht="12.75" hidden="1" customHeight="1">
      <c r="D185" s="881" t="s">
        <v>2888</v>
      </c>
      <c r="F185" s="185"/>
      <c r="T185" s="185"/>
    </row>
    <row r="186" spans="1:20" ht="12.75" hidden="1" customHeight="1">
      <c r="D186" s="3" t="s">
        <v>320</v>
      </c>
      <c r="F186" s="185"/>
      <c r="T186" s="185"/>
    </row>
    <row r="187" spans="1:20" ht="12.75" hidden="1" customHeight="1">
      <c r="D187" s="3" t="s">
        <v>319</v>
      </c>
      <c r="F187" s="185"/>
      <c r="T187" s="185"/>
    </row>
    <row r="188" spans="1:20" ht="12.75" hidden="1" customHeight="1">
      <c r="D188" s="3" t="s">
        <v>498</v>
      </c>
      <c r="F188" s="185"/>
      <c r="T188" s="185"/>
    </row>
    <row r="189" spans="1:20" ht="12.75" hidden="1" customHeight="1">
      <c r="D189" s="3" t="s">
        <v>2560</v>
      </c>
      <c r="F189" s="185"/>
      <c r="T189" s="185"/>
    </row>
    <row r="190" spans="1:20" ht="12.75" hidden="1" customHeight="1">
      <c r="D190" s="3" t="s">
        <v>109</v>
      </c>
      <c r="F190" s="185"/>
      <c r="T190" s="185"/>
    </row>
    <row r="191" spans="1:20" ht="12.75" hidden="1" customHeight="1">
      <c r="D191" s="3" t="s">
        <v>753</v>
      </c>
      <c r="F191" s="185"/>
      <c r="T191" s="185"/>
    </row>
    <row r="192" spans="1:20" ht="12.75" hidden="1" customHeight="1">
      <c r="D192" s="3" t="s">
        <v>521</v>
      </c>
      <c r="F192" s="185"/>
      <c r="T192" s="185"/>
    </row>
    <row r="193" spans="4:20" ht="12.75" hidden="1" customHeight="1">
      <c r="D193" s="3" t="s">
        <v>268</v>
      </c>
      <c r="F193" s="185"/>
      <c r="T193" s="185"/>
    </row>
    <row r="194" spans="4:20" ht="12.75" hidden="1" customHeight="1">
      <c r="D194" s="3" t="s">
        <v>2556</v>
      </c>
      <c r="F194" s="185"/>
      <c r="T194" s="185"/>
    </row>
    <row r="195" spans="4:20" ht="12.75" hidden="1" customHeight="1">
      <c r="D195" s="3" t="s">
        <v>267</v>
      </c>
      <c r="F195" s="185"/>
      <c r="T195" s="185"/>
    </row>
    <row r="196" spans="4:20" ht="12.75" hidden="1" customHeight="1">
      <c r="D196" s="3" t="s">
        <v>493</v>
      </c>
      <c r="F196" s="185"/>
      <c r="T196" s="185"/>
    </row>
    <row r="197" spans="4:20" ht="12.75" hidden="1" customHeight="1">
      <c r="D197" s="3" t="s">
        <v>494</v>
      </c>
      <c r="F197" s="185"/>
      <c r="T197" s="185"/>
    </row>
    <row r="198" spans="4:20" ht="12.75" hidden="1" customHeight="1">
      <c r="D198" s="3" t="s">
        <v>495</v>
      </c>
      <c r="F198" s="185"/>
      <c r="T198" s="185"/>
    </row>
    <row r="199" spans="4:20" ht="12.75" hidden="1" customHeight="1">
      <c r="D199" s="3" t="s">
        <v>2886</v>
      </c>
      <c r="F199" s="185"/>
      <c r="T199" s="185"/>
    </row>
    <row r="200" spans="4:20" ht="12.75" hidden="1" customHeight="1">
      <c r="D200" s="3" t="s">
        <v>3099</v>
      </c>
      <c r="F200" s="185"/>
      <c r="T200" s="185"/>
    </row>
    <row r="201" spans="4:20" ht="12.75" hidden="1" customHeight="1">
      <c r="D201" s="3" t="s">
        <v>497</v>
      </c>
      <c r="F201" s="185"/>
      <c r="T201" s="185"/>
    </row>
    <row r="202" spans="4:20" hidden="1">
      <c r="D202" s="3" t="s">
        <v>59</v>
      </c>
    </row>
    <row r="203" spans="4:20" hidden="1">
      <c r="D203" s="3" t="s">
        <v>496</v>
      </c>
    </row>
    <row r="204" spans="4:20" hidden="1">
      <c r="D204" s="3" t="s">
        <v>254</v>
      </c>
    </row>
    <row r="206" spans="4:20">
      <c r="T206" s="185"/>
    </row>
    <row r="207" spans="4:20">
      <c r="T207" s="185"/>
    </row>
    <row r="208" spans="4:20">
      <c r="T208" s="185"/>
    </row>
    <row r="209" spans="20:20">
      <c r="T209" s="185"/>
    </row>
    <row r="210" spans="20:20">
      <c r="T210" s="185"/>
    </row>
    <row r="211" spans="20:20">
      <c r="T211" s="185"/>
    </row>
    <row r="212" spans="20:20">
      <c r="T212" s="185"/>
    </row>
    <row r="213" spans="20:20">
      <c r="T213" s="185"/>
    </row>
    <row r="214" spans="20:20">
      <c r="T214" s="185"/>
    </row>
    <row r="215" spans="20:20">
      <c r="T215" s="185"/>
    </row>
    <row r="216" spans="20:20">
      <c r="T216" s="185"/>
    </row>
  </sheetData>
  <sheetProtection algorithmName="SHA-512" hashValue="nKA2F/NFasTm7ppGW15bIWN8NeAqXXuUCta5nXEAOkquy1RP0BB3WPnKMu/lP1PgvUEbAX4JA0wKWsjIMmMJ1w==" saltValue="dzuzd+FygOvOtTXmrOyKzQ==" spinCount="100000" sheet="1" objects="1" scenarios="1"/>
  <sortState xmlns:xlrd2="http://schemas.microsoft.com/office/spreadsheetml/2017/richdata2" ref="D181:D204">
    <sortCondition ref="D181:D204"/>
  </sortState>
  <customSheetViews>
    <customSheetView guid="{354F272F-821B-473B-9CC5-4001AD879606}" showPageBreaks="1" printArea="1" hiddenRows="1" hiddenColumns="1">
      <selection activeCell="E8" sqref="E8:G8"/>
      <rowBreaks count="3" manualBreakCount="3">
        <brk id="52" max="16383" man="1"/>
        <brk id="107" max="16383" man="1"/>
        <brk id="176" max="12" man="1"/>
      </rowBreaks>
      <pageMargins left="0.54" right="0.18" top="0.51" bottom="0.33" header="0.18" footer="0.17"/>
      <pageSetup scale="52" orientation="landscape"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27">
    <mergeCell ref="A1:D1"/>
    <mergeCell ref="A2:D2"/>
    <mergeCell ref="A3:D3"/>
    <mergeCell ref="A4:D4"/>
    <mergeCell ref="A111:D111"/>
    <mergeCell ref="A112:D112"/>
    <mergeCell ref="A56:D56"/>
    <mergeCell ref="A57:D57"/>
    <mergeCell ref="A58:D58"/>
    <mergeCell ref="A5:D5"/>
    <mergeCell ref="A6:D6"/>
    <mergeCell ref="A8:D8"/>
    <mergeCell ref="A110:D110"/>
    <mergeCell ref="A11:H11"/>
    <mergeCell ref="E58:G58"/>
    <mergeCell ref="E110:G110"/>
    <mergeCell ref="E6:G6"/>
    <mergeCell ref="E112:G112"/>
    <mergeCell ref="E111:G111"/>
    <mergeCell ref="E3:G3"/>
    <mergeCell ref="E1:G1"/>
    <mergeCell ref="E56:G56"/>
    <mergeCell ref="E57:G57"/>
    <mergeCell ref="E8:G8"/>
    <mergeCell ref="E5:G5"/>
    <mergeCell ref="E4:G4"/>
    <mergeCell ref="E2:G2"/>
  </mergeCells>
  <phoneticPr fontId="40" type="noConversion"/>
  <conditionalFormatting sqref="E30">
    <cfRule type="cellIs" dxfId="131" priority="2" operator="equal">
      <formula>"Answer Required"</formula>
    </cfRule>
  </conditionalFormatting>
  <conditionalFormatting sqref="E35">
    <cfRule type="cellIs" dxfId="130" priority="21" operator="equal">
      <formula>"Answer Required"</formula>
    </cfRule>
  </conditionalFormatting>
  <conditionalFormatting sqref="E47">
    <cfRule type="cellIs" dxfId="129" priority="9" operator="equal">
      <formula>"Answer Required"</formula>
    </cfRule>
  </conditionalFormatting>
  <conditionalFormatting sqref="E68">
    <cfRule type="cellIs" dxfId="128" priority="19" operator="equal">
      <formula>"Answer Required"</formula>
    </cfRule>
  </conditionalFormatting>
  <conditionalFormatting sqref="E79">
    <cfRule type="cellIs" dxfId="127" priority="8" operator="equal">
      <formula>"Answer Required"</formula>
    </cfRule>
  </conditionalFormatting>
  <conditionalFormatting sqref="E83">
    <cfRule type="cellIs" dxfId="126" priority="7" operator="equal">
      <formula>"Answer Required"</formula>
    </cfRule>
  </conditionalFormatting>
  <conditionalFormatting sqref="E88">
    <cfRule type="cellIs" dxfId="125" priority="16" operator="equal">
      <formula>"Answer Required"</formula>
    </cfRule>
  </conditionalFormatting>
  <conditionalFormatting sqref="E127">
    <cfRule type="cellIs" dxfId="124" priority="6" operator="equal">
      <formula>"Answer Required"</formula>
    </cfRule>
  </conditionalFormatting>
  <conditionalFormatting sqref="E148:E149">
    <cfRule type="cellIs" dxfId="123" priority="5" operator="equal">
      <formula>"Answer Required"</formula>
    </cfRule>
  </conditionalFormatting>
  <dataValidations xWindow="1037" yWindow="793" count="26">
    <dataValidation allowBlank="1" showInputMessage="1" showErrorMessage="1" prompt="_x000a__x000a_" sqref="H201:L65549 G198:L200 G201:G208 G420:G65549 L179:L197 G181:K197" xr:uid="{00000000-0002-0000-0400-000000000000}"/>
    <dataValidation allowBlank="1" showErrorMessage="1" prompt="_x000a__x000a_" sqref="G209:G215 G7:K7 L12:L14 G9:K9 L2:L9 G12:K18 O62:O63 Q62:Q63 G55:K55 S62:S63 G59:K64 M62:M63 G169:G180 G167 H167:K180 G107 M116 S116 Q116 O116 G113:K117 H107:K109" xr:uid="{00000000-0002-0000-0400-000001000000}"/>
    <dataValidation allowBlank="1" showErrorMessage="1" sqref="G216:G419 U108:U115 M12:M18 U12:U15 M1:N9 T1:U9 T12:T178 S42 S49 S37 Q42 Q49 Q37 M42 M49 M37 M25 M31 Q16:Q18 Q25 Q31 S16:S18 S25 S31 L15:L178 U31:U61 S55:S59 M55:M59 S64 M64 Q55:Q59 Q64 U64:U105 M77 Q77 S77 Q81 M81 S81 S85 Q85 M85 N62:N147 M167 M147 S163 M161 M139:M140 M165 M143 M145 M163 Q147 Q161 Q139:Q140 Q165 Q143 Q145 Q163 S147 S161 S139:S140 S165 S143 S145 U167:U178 N165:N178 M132 S117 Q117 S107:S115 S132 Q129 M117 Q121 Q132 S105 S101 Q105 Q101 Q107:Q115 M129 M105 M121 M101 U117:U165 M110:M115 M107 M169:M178 Q94 S94 M94 N12:N59 U18:U28" xr:uid="{00000000-0002-0000-0400-000002000000}"/>
    <dataValidation type="whole" allowBlank="1" showErrorMessage="1" prompt="_x000a__x000a_" sqref="U107 O169:O178 R12:R18 S12:S15 Q12:Q15 O1:S9 O12:P18 O49:P49 O42:P42 O37:P37 R37 R42 R49 R31 O31:P31 O25:P25 R25 O55:O61 R55:R64 O64 P55:P64 R77 O77:P77 O81:P81 R81 O85:P85 R85 O167 P167:S178 R143 R147 R163 R139:R140 R161 R145 O139:P140 O143:P143 O163:P163 O147:P147 O165:P165 O145:P145 O161:P161 R165 O117 P107:P117 O129:P129 O121:P121 O101:P101 O132:P132 R129 G105:K105 O105:P105 R105 R132 G101:K101 O110:O115 R107:R117 R101 R121 R94 O94:P94" xr:uid="{00000000-0002-0000-0400-000003000000}">
      <formula1>-99999999999999900</formula1>
      <formula2>9999999999999990000</formula2>
    </dataValidation>
    <dataValidation type="whole" allowBlank="1" showErrorMessage="1" prompt="_x000a__x000a__x000a_" sqref="G165:K165" xr:uid="{00000000-0002-0000-0400-000004000000}">
      <formula1>-99999999999999900</formula1>
      <formula2>99999999999999900</formula2>
    </dataValidation>
    <dataValidation type="whole" allowBlank="1" showErrorMessage="1" prompt="_x000a__x000a_" sqref="G139:K140 G145:K145 G147:K147 G143:K143 S129 S121 G132:K132 G129:K129 G121:K121" xr:uid="{00000000-0002-0000-0400-000005000000}">
      <formula1>0</formula1>
      <formula2>999999999999999000000</formula2>
    </dataValidation>
    <dataValidation type="whole" allowBlank="1" showErrorMessage="1" prompt="_x000a__x000a_" sqref="G161 I161:K161" xr:uid="{00000000-0002-0000-0400-000006000000}">
      <formula1>-9999999999999990</formula1>
      <formula2>9999999999999990</formula2>
    </dataValidation>
    <dataValidation type="whole" allowBlank="1" showErrorMessage="1" prompt="_x000a__x000a_" sqref="G163 I163:K163" xr:uid="{00000000-0002-0000-0400-000007000000}">
      <formula1>0</formula1>
      <formula2>9.99999999999999E+27</formula2>
    </dataValidation>
    <dataValidation type="whole" allowBlank="1" showInputMessage="1" showErrorMessage="1" error="Enter only whole numbers" promptTitle="Principal Retirement" prompt="This line item is ONLY used for debt service funds._x000a__x000a_" sqref="M141 J141 G141:H141" xr:uid="{00000000-0002-0000-0400-000008000000}">
      <formula1>-1000000000000</formula1>
      <formula2>1000000000000</formula2>
    </dataValidation>
    <dataValidation type="whole" allowBlank="1" showInputMessage="1" showErrorMessage="1" error="Enter only whole numbers" promptTitle="Interest and Charges" prompt="This line item is ONLY used for debt service funds._x000a__x000a_" sqref="M142 J142 G142:H142" xr:uid="{00000000-0002-0000-0400-000009000000}">
      <formula1>-1000000000000</formula1>
      <formula2>1000000000000</formula2>
    </dataValidation>
    <dataValidation type="whole" allowBlank="1" showInputMessage="1" showErrorMessage="1" error="Enter only whole numbers" promptTitle="Special Items" prompt="Transactions or events within management's control that are EITHER unusual in nature OR infrequent in occurrence_x000a__x000a_" sqref="J148" xr:uid="{00000000-0002-0000-0400-00000A000000}">
      <formula1>-1000000000000</formula1>
      <formula2>1000000000000</formula2>
    </dataValidation>
    <dataValidation type="whole" allowBlank="1" showInputMessage="1" showErrorMessage="1" error="Enter only whole numbers" promptTitle="Extraordinary Items" prompt="Transactions or events that are BOTH unusual in nature and infrequent in occurrence" sqref="J149:J153" xr:uid="{00000000-0002-0000-0400-00000B000000}">
      <formula1>-1000000000000</formula1>
      <formula2>1000000000000</formula2>
    </dataValidation>
    <dataValidation type="whole" allowBlank="1" showErrorMessage="1" error="Enter only whole numbers" sqref="I149:I153 Q38:Q41 S38:S41 S32:S35 S43:S47 G40:K41 I154:K154 H26:K27 G46 K95:K100 S19:S23 Q19:Q23 Q26:Q27 S26:S27 H122:K127 Q43:Q47 Q32:Q35 H118:K120 S70:S76 S65:S68 Q65:Q76 Q82:Q83 K29 S82:S83 Q78:Q79 H75:K76 M70 S78:S79 H71:K71 H46:K47 K141:K142 Q133:Q138 K148:K153 M151 I164:K164 Q149:Q154 S141:S142 Q164 S133:S138 S164 H133:K138 M153 H102:K104 S122:S127 H78:K79 Q102:Q104 Q98:Q100 Q122:Q127 Q118:Q120 S148:S160 H43:K44 S118:S120 S97:S100 H82:K83 H98:J100 S102:S104 G150:G151 G153 H19:K23 H30:K30 K155:K160" xr:uid="{00000000-0002-0000-0400-00000C000000}">
      <formula1>-9999999999999</formula1>
      <formula2>9999999999999</formula2>
    </dataValidation>
    <dataValidation type="whole" allowBlank="1" showInputMessage="1" showErrorMessage="1" error="Enter only whole numbers" promptTitle="Transfer Out" prompt="Enter as a negative_x000a__x000a_" sqref="J155:J160" xr:uid="{00000000-0002-0000-0400-00000D000000}">
      <formula1>-1000000000000</formula1>
      <formula2>1000000000000</formula2>
    </dataValidation>
    <dataValidation allowBlank="1" sqref="G168 M50:M51 E30 S28:S30 O19:P24 O102:P104 E35 E3:G6 S36 S48 Q36 E127 O38:P41 E148:E153 M54 Q48 G50:K54 R26:R30 M48 R43:R48 M36 R38:R41 R32:R36 E38:E39 M24 E72:E74 Q24 G24:K24 R19:R24 M28:M29 Q28:Q30 S24 O50:S54 S69 M60:N61 R65:R76 S60:S61 Q60:Q61 E68 E47 O32:P36 G48:K48 O78:P80 R78:R80 O82:P84 Q80 S80 M150 M69 R82:R84 M84 Q84 S84 G84:K84 O65:P76 G86:K93 O86:S93 M86:M87 M89:M93 H95:J96 U166 O166:S166 G166:K166 R148:R160 R133:R138 R141:R142 M144 M146 O148:P160 M166 G146:K146 G144:K144 R164 O164:P164 O146:S146 O141:P142 O133:P138 O162:S162 O144:S144 G162 I162:K162 M80 N148:N164 G164 M164 M162 E88 E79 M168 O95:P100 R95:R100 O106:S106 O118:P120 O122:P128 S95:S96 Q128 G130:K131 O168 G128:K128 G106:K106 O130:S131 Q95:Q96 S128 M128 M130:M131 R122:R128 M106 R118:R120 E83 R102:R104 U106 O108:O109 M108:M109 G108:G109 H148:H164 G80:K80 O43:P48 O26:P30 G28:J29 K28" xr:uid="{00000000-0002-0000-0400-00000E000000}"/>
    <dataValidation type="whole" allowBlank="1" showErrorMessage="1" error="Enter only whole numbers" prompt="_x000a__x000a_" sqref="Q148 Q155:Q160 Q141:Q142 I141:I142 I155:I160 Q97 H97:J97 I148" xr:uid="{00000000-0002-0000-0400-00000F000000}">
      <formula1>-1000000000000</formula1>
      <formula2>1000000000000</formula2>
    </dataValidation>
    <dataValidation type="whole" allowBlank="1" showErrorMessage="1" error="Enter only whole numbers" prompt="_x000a__x000a_" sqref="G156:G160 M156:M160" xr:uid="{00000000-0002-0000-0400-000010000000}">
      <formula1>-9999999999999</formula1>
      <formula2>9999999999999</formula2>
    </dataValidation>
    <dataValidation type="whole" allowBlank="1" showErrorMessage="1" prompt="_x000a__x000a_" sqref="G94:K94 G71 G65:K70 G72:K74 G77:K77 G81:K81 G85:K85" xr:uid="{00000000-0002-0000-0400-000011000000}">
      <formula1>0</formula1>
      <formula2>9999999999999990000</formula2>
    </dataValidation>
    <dataValidation type="whole" allowBlank="1" showErrorMessage="1" error="Enter a whole number." sqref="G152 M43:M47 M38:M41 G75:G76 M65:M68 M52 M71:M76 G78:G79 M78:M79 M88 G82:G83 M82:M83 G95:G100 M118:M120 G118:G120 M102:M104 M95:M100 G122:G127 M122:M127 G133:G138 M152 M133:M138 M154 G102:G104 G47 G43:G44 G19:G23 M19:M23 G26:G27 M26:M27 M32:M35 G154 G30 M30" xr:uid="{00000000-0002-0000-0400-000012000000}">
      <formula1>-9999999999999</formula1>
      <formula2>9999999999999</formula2>
    </dataValidation>
    <dataValidation type="whole" allowBlank="1" showInputMessage="1" showErrorMessage="1" error="Enter a whole number." sqref="G148:G149 M148:M149" xr:uid="{00000000-0002-0000-0400-000013000000}">
      <formula1>-9999999999999</formula1>
      <formula2>9999999999999</formula2>
    </dataValidation>
    <dataValidation type="whole" allowBlank="1" showErrorMessage="1" error="Enter a whole number." sqref="M53" xr:uid="{00000000-0002-0000-0400-000014000000}">
      <formula1>-9999999999999</formula1>
      <formula2>99999999999999</formula2>
    </dataValidation>
    <dataValidation type="whole" allowBlank="1" showErrorMessage="1" prompt="_x000a__x000a_" sqref="G49:K49 G45:K45 G42:K42 G25:K25 G31:K39" xr:uid="{00000000-0002-0000-0400-000015000000}">
      <formula1>0</formula1>
      <formula2>9999999999999990</formula2>
    </dataValidation>
    <dataValidation type="whole" allowBlank="1" showErrorMessage="1" error="Enter an agency number between 100 and 996." sqref="E1:G1" xr:uid="{00000000-0002-0000-0400-000016000000}">
      <formula1>100</formula1>
      <formula2>996</formula2>
    </dataValidation>
    <dataValidation type="whole" allowBlank="1" showInputMessage="1" showErrorMessage="1" error="Enter a negative whole number." sqref="G155 M155" xr:uid="{00000000-0002-0000-0400-000017000000}">
      <formula1>-9999999999999</formula1>
      <formula2>0</formula2>
    </dataValidation>
    <dataValidation type="list" allowBlank="1" showErrorMessage="1" error="Use the drop down list to select the Government Fund Type and Name" sqref="I8:K8" xr:uid="{00000000-0002-0000-0400-000018000000}">
      <formula1>$D$183:$D$202</formula1>
    </dataValidation>
    <dataValidation type="list" allowBlank="1" showErrorMessage="1" error="Use the drop down list to select the Governmental Fund Type and Name." sqref="E8:G8" xr:uid="{00000000-0002-0000-0400-000019000000}">
      <formula1>$D$183:$D$204</formula1>
    </dataValidation>
  </dataValidations>
  <pageMargins left="0.54" right="0.18" top="0.51" bottom="0.33" header="0.18" footer="0.17"/>
  <pageSetup scale="60" orientation="landscape"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rowBreaks count="3" manualBreakCount="3">
    <brk id="54" max="16383" man="1"/>
    <brk id="109" max="16383" man="1"/>
    <brk id="178" max="12" man="1"/>
  </rowBreaks>
  <ignoredErrors>
    <ignoredError sqref="O45" formula="1"/>
  </ignoredError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5"/>
  <sheetViews>
    <sheetView zoomScale="110" zoomScaleNormal="110" workbookViewId="0">
      <selection activeCell="C1" sqref="C1:G1"/>
    </sheetView>
  </sheetViews>
  <sheetFormatPr defaultColWidth="9.140625" defaultRowHeight="12.75"/>
  <cols>
    <col min="1" max="1" width="50.5703125" style="782" customWidth="1"/>
    <col min="2" max="2" width="4" style="782" customWidth="1"/>
    <col min="3" max="3" width="19.28515625" style="782" customWidth="1"/>
    <col min="4" max="4" width="1.5703125" style="782" customWidth="1"/>
    <col min="5" max="5" width="19.140625" style="782" customWidth="1"/>
    <col min="6" max="6" width="1.5703125" style="782" customWidth="1"/>
    <col min="7" max="7" width="19.28515625" style="782" customWidth="1"/>
    <col min="8" max="8" width="1.5703125" style="782" customWidth="1"/>
    <col min="9" max="9" width="19.28515625" style="782" customWidth="1"/>
    <col min="10" max="16384" width="9.140625" style="782"/>
  </cols>
  <sheetData>
    <row r="1" spans="1:9">
      <c r="A1" s="913" t="s">
        <v>399</v>
      </c>
      <c r="B1" s="912"/>
      <c r="C1" s="933" t="str">
        <f>IF('Fund Financial Stmt Template'!E1="","",'Fund Financial Stmt Template'!E1)</f>
        <v/>
      </c>
      <c r="D1" s="934"/>
      <c r="E1" s="934"/>
      <c r="F1" s="934"/>
      <c r="G1" s="935"/>
      <c r="H1" s="191"/>
      <c r="I1" s="191"/>
    </row>
    <row r="2" spans="1:9" ht="28.5" customHeight="1">
      <c r="A2" s="911" t="s">
        <v>362</v>
      </c>
      <c r="B2" s="912"/>
      <c r="C2" s="908" t="str">
        <f>'Fund Financial Stmt Template'!E2</f>
        <v/>
      </c>
      <c r="D2" s="909"/>
      <c r="E2" s="909"/>
      <c r="F2" s="909"/>
      <c r="G2" s="910"/>
      <c r="H2" s="191"/>
      <c r="I2" s="191"/>
    </row>
    <row r="3" spans="1:9">
      <c r="A3" s="911" t="s">
        <v>419</v>
      </c>
      <c r="B3" s="912"/>
      <c r="C3" s="893" t="str">
        <f>IF('Fund Financial Stmt Template'!E3="","",'Fund Financial Stmt Template'!E3)</f>
        <v/>
      </c>
      <c r="D3" s="894"/>
      <c r="E3" s="894"/>
      <c r="F3" s="894"/>
      <c r="G3" s="895"/>
      <c r="H3" s="191"/>
      <c r="I3" s="191"/>
    </row>
    <row r="4" spans="1:9">
      <c r="A4" s="911" t="s">
        <v>420</v>
      </c>
      <c r="B4" s="912"/>
      <c r="C4" s="905" t="str">
        <f>IF('Fund Financial Stmt Template'!E4="","",'Fund Financial Stmt Template'!E4)</f>
        <v/>
      </c>
      <c r="D4" s="906"/>
      <c r="E4" s="906"/>
      <c r="F4" s="906"/>
      <c r="G4" s="907"/>
      <c r="H4" s="191"/>
      <c r="I4" s="191"/>
    </row>
    <row r="5" spans="1:9">
      <c r="A5" s="911" t="s">
        <v>421</v>
      </c>
      <c r="B5" s="912"/>
      <c r="C5" s="936" t="str">
        <f>IF('Fund Financial Stmt Template'!E5="","",'Fund Financial Stmt Template'!E5)</f>
        <v/>
      </c>
      <c r="D5" s="937"/>
      <c r="E5" s="937"/>
      <c r="F5" s="937"/>
      <c r="G5" s="938"/>
      <c r="H5" s="191"/>
      <c r="I5" s="191"/>
    </row>
    <row r="6" spans="1:9">
      <c r="A6" s="911" t="s">
        <v>418</v>
      </c>
      <c r="B6" s="912"/>
      <c r="C6" s="920" t="str">
        <f>IF('Fund Financial Stmt Template'!E6="","",'Fund Financial Stmt Template'!E6)</f>
        <v/>
      </c>
      <c r="D6" s="923"/>
      <c r="E6" s="923"/>
      <c r="F6" s="923"/>
      <c r="G6" s="924"/>
      <c r="H6" s="191"/>
      <c r="I6" s="191"/>
    </row>
    <row r="7" spans="1:9">
      <c r="A7" s="191"/>
      <c r="B7" s="191"/>
      <c r="C7" s="191"/>
      <c r="D7" s="191"/>
      <c r="E7" s="191"/>
      <c r="F7" s="191"/>
      <c r="G7" s="191"/>
      <c r="H7" s="191"/>
      <c r="I7" s="191"/>
    </row>
    <row r="8" spans="1:9">
      <c r="A8" s="911" t="s">
        <v>491</v>
      </c>
      <c r="B8" s="912"/>
      <c r="C8" s="896" t="str">
        <f>IF('Fund Financial Stmt Template'!E8="","",'Fund Financial Stmt Template'!E8)</f>
        <v/>
      </c>
      <c r="D8" s="925"/>
      <c r="E8" s="925"/>
      <c r="F8" s="925"/>
      <c r="G8" s="926"/>
      <c r="H8" s="191"/>
      <c r="I8" s="191"/>
    </row>
    <row r="9" spans="1:9">
      <c r="A9" s="191"/>
      <c r="B9" s="191"/>
      <c r="C9" s="191"/>
      <c r="D9" s="191"/>
      <c r="E9" s="191"/>
      <c r="F9" s="191"/>
      <c r="G9" s="191"/>
      <c r="H9" s="191"/>
      <c r="I9" s="191"/>
    </row>
    <row r="10" spans="1:9" ht="12.75" customHeight="1">
      <c r="A10" s="927" t="s">
        <v>614</v>
      </c>
      <c r="B10" s="928"/>
      <c r="C10" s="928"/>
      <c r="D10" s="928"/>
      <c r="E10" s="928"/>
      <c r="F10" s="928"/>
      <c r="G10" s="928"/>
      <c r="H10" s="928"/>
      <c r="I10" s="929"/>
    </row>
    <row r="11" spans="1:9" ht="25.5" customHeight="1">
      <c r="A11" s="930"/>
      <c r="B11" s="931"/>
      <c r="C11" s="931"/>
      <c r="D11" s="931"/>
      <c r="E11" s="931"/>
      <c r="F11" s="931"/>
      <c r="G11" s="931"/>
      <c r="H11" s="931"/>
      <c r="I11" s="932"/>
    </row>
    <row r="12" spans="1:9">
      <c r="A12" s="231" t="s">
        <v>423</v>
      </c>
      <c r="B12" s="191"/>
      <c r="C12" s="231"/>
      <c r="D12" s="191"/>
      <c r="E12" s="231"/>
      <c r="F12" s="191"/>
      <c r="G12" s="231"/>
      <c r="H12" s="191"/>
      <c r="I12" s="231"/>
    </row>
    <row r="13" spans="1:9" ht="13.5" thickBot="1">
      <c r="A13" s="783" t="s">
        <v>282</v>
      </c>
      <c r="B13" s="191"/>
      <c r="C13" s="783" t="s">
        <v>256</v>
      </c>
      <c r="D13" s="191"/>
      <c r="E13" s="783" t="s">
        <v>257</v>
      </c>
      <c r="F13" s="191"/>
      <c r="G13" s="783" t="s">
        <v>263</v>
      </c>
      <c r="H13" s="191"/>
      <c r="I13" s="783" t="s">
        <v>259</v>
      </c>
    </row>
    <row r="14" spans="1:9">
      <c r="A14" s="191"/>
      <c r="B14" s="191"/>
      <c r="C14" s="191"/>
      <c r="D14" s="191"/>
      <c r="E14" s="191"/>
      <c r="F14" s="191"/>
      <c r="G14" s="191"/>
      <c r="H14" s="191"/>
      <c r="I14" s="191"/>
    </row>
    <row r="15" spans="1:9">
      <c r="A15" s="121"/>
      <c r="B15" s="191"/>
      <c r="C15" s="238"/>
      <c r="D15" s="191"/>
      <c r="E15" s="238"/>
      <c r="F15" s="191"/>
      <c r="G15" s="238"/>
      <c r="H15" s="191"/>
      <c r="I15" s="238"/>
    </row>
    <row r="16" spans="1:9">
      <c r="A16" s="121"/>
      <c r="B16" s="191"/>
      <c r="C16" s="238"/>
      <c r="D16" s="191"/>
      <c r="E16" s="238"/>
      <c r="F16" s="191"/>
      <c r="G16" s="238"/>
      <c r="H16" s="191"/>
      <c r="I16" s="238"/>
    </row>
    <row r="17" spans="1:9">
      <c r="A17" s="121"/>
      <c r="B17" s="191"/>
      <c r="C17" s="238"/>
      <c r="D17" s="191"/>
      <c r="E17" s="238"/>
      <c r="F17" s="191"/>
      <c r="G17" s="238"/>
      <c r="H17" s="191"/>
      <c r="I17" s="238"/>
    </row>
    <row r="18" spans="1:9">
      <c r="A18" s="121"/>
      <c r="B18" s="191"/>
      <c r="C18" s="238"/>
      <c r="D18" s="191"/>
      <c r="E18" s="238"/>
      <c r="F18" s="191"/>
      <c r="G18" s="238"/>
      <c r="H18" s="191"/>
      <c r="I18" s="238"/>
    </row>
    <row r="19" spans="1:9">
      <c r="A19" s="121"/>
      <c r="B19" s="191"/>
      <c r="C19" s="238"/>
      <c r="D19" s="191"/>
      <c r="E19" s="238"/>
      <c r="F19" s="191"/>
      <c r="G19" s="238"/>
      <c r="H19" s="191"/>
      <c r="I19" s="238"/>
    </row>
    <row r="20" spans="1:9">
      <c r="A20" s="121"/>
      <c r="B20" s="191"/>
      <c r="C20" s="238"/>
      <c r="D20" s="191"/>
      <c r="E20" s="238"/>
      <c r="F20" s="191"/>
      <c r="G20" s="238"/>
      <c r="H20" s="191"/>
      <c r="I20" s="238"/>
    </row>
    <row r="21" spans="1:9">
      <c r="A21" s="121"/>
      <c r="B21" s="191"/>
      <c r="C21" s="238"/>
      <c r="D21" s="191"/>
      <c r="E21" s="238"/>
      <c r="F21" s="191"/>
      <c r="G21" s="238"/>
      <c r="H21" s="191"/>
      <c r="I21" s="238"/>
    </row>
    <row r="22" spans="1:9">
      <c r="A22" s="121"/>
      <c r="B22" s="191"/>
      <c r="C22" s="238"/>
      <c r="D22" s="191"/>
      <c r="E22" s="238"/>
      <c r="F22" s="191"/>
      <c r="G22" s="238"/>
      <c r="H22" s="191"/>
      <c r="I22" s="238"/>
    </row>
    <row r="23" spans="1:9">
      <c r="A23" s="121"/>
      <c r="B23" s="191"/>
      <c r="C23" s="238"/>
      <c r="D23" s="191"/>
      <c r="E23" s="238"/>
      <c r="F23" s="191"/>
      <c r="G23" s="238"/>
      <c r="H23" s="191"/>
      <c r="I23" s="238"/>
    </row>
    <row r="24" spans="1:9">
      <c r="A24" s="121"/>
      <c r="B24" s="191"/>
      <c r="C24" s="238"/>
      <c r="D24" s="191"/>
      <c r="E24" s="238"/>
      <c r="F24" s="191"/>
      <c r="G24" s="238"/>
      <c r="H24" s="191"/>
      <c r="I24" s="238"/>
    </row>
    <row r="25" spans="1:9">
      <c r="A25" s="121"/>
      <c r="B25" s="191"/>
      <c r="C25" s="238"/>
      <c r="D25" s="191"/>
      <c r="E25" s="238"/>
      <c r="F25" s="191"/>
      <c r="G25" s="238"/>
      <c r="H25" s="191"/>
      <c r="I25" s="238"/>
    </row>
    <row r="26" spans="1:9">
      <c r="A26" s="121"/>
      <c r="B26" s="191"/>
      <c r="C26" s="238"/>
      <c r="D26" s="191"/>
      <c r="E26" s="238"/>
      <c r="F26" s="191"/>
      <c r="G26" s="238"/>
      <c r="H26" s="191"/>
      <c r="I26" s="238"/>
    </row>
    <row r="27" spans="1:9">
      <c r="A27" s="121"/>
      <c r="B27" s="191"/>
      <c r="C27" s="238"/>
      <c r="D27" s="191"/>
      <c r="E27" s="238"/>
      <c r="F27" s="191"/>
      <c r="G27" s="238"/>
      <c r="H27" s="191"/>
      <c r="I27" s="238"/>
    </row>
    <row r="28" spans="1:9">
      <c r="A28" s="121"/>
      <c r="B28" s="191"/>
      <c r="C28" s="238"/>
      <c r="D28" s="191"/>
      <c r="E28" s="238"/>
      <c r="F28" s="191"/>
      <c r="G28" s="238"/>
      <c r="H28" s="191"/>
      <c r="I28" s="238"/>
    </row>
    <row r="29" spans="1:9">
      <c r="A29" s="121"/>
      <c r="B29" s="191"/>
      <c r="C29" s="238"/>
      <c r="D29" s="191"/>
      <c r="E29" s="238"/>
      <c r="F29" s="191"/>
      <c r="G29" s="238"/>
      <c r="H29" s="191"/>
      <c r="I29" s="238"/>
    </row>
    <row r="30" spans="1:9">
      <c r="A30" s="121"/>
      <c r="B30" s="191"/>
      <c r="C30" s="238"/>
      <c r="D30" s="191"/>
      <c r="E30" s="238"/>
      <c r="F30" s="191"/>
      <c r="G30" s="238"/>
      <c r="H30" s="191"/>
      <c r="I30" s="238"/>
    </row>
    <row r="31" spans="1:9">
      <c r="A31" s="121"/>
      <c r="B31" s="191"/>
      <c r="C31" s="238"/>
      <c r="D31" s="191"/>
      <c r="E31" s="238"/>
      <c r="F31" s="191"/>
      <c r="G31" s="238"/>
      <c r="H31" s="191"/>
      <c r="I31" s="238"/>
    </row>
    <row r="32" spans="1:9">
      <c r="A32" s="121"/>
      <c r="B32" s="191"/>
      <c r="C32" s="238"/>
      <c r="D32" s="191"/>
      <c r="E32" s="238"/>
      <c r="F32" s="191"/>
      <c r="G32" s="238"/>
      <c r="H32" s="191"/>
      <c r="I32" s="238"/>
    </row>
    <row r="33" spans="1:9">
      <c r="A33" s="121"/>
      <c r="B33" s="191"/>
      <c r="C33" s="238"/>
      <c r="D33" s="191"/>
      <c r="E33" s="238"/>
      <c r="F33" s="191"/>
      <c r="G33" s="238"/>
      <c r="H33" s="191"/>
      <c r="I33" s="238"/>
    </row>
    <row r="34" spans="1:9">
      <c r="A34" s="121"/>
      <c r="B34" s="191"/>
      <c r="C34" s="238"/>
      <c r="D34" s="191"/>
      <c r="E34" s="238"/>
      <c r="F34" s="191"/>
      <c r="G34" s="238"/>
      <c r="H34" s="191"/>
      <c r="I34" s="238"/>
    </row>
    <row r="35" spans="1:9">
      <c r="A35" s="121"/>
      <c r="B35" s="191"/>
      <c r="C35" s="238"/>
      <c r="D35" s="191"/>
      <c r="E35" s="238"/>
      <c r="F35" s="191"/>
      <c r="G35" s="238"/>
      <c r="H35" s="191"/>
      <c r="I35" s="238"/>
    </row>
    <row r="36" spans="1:9" hidden="1">
      <c r="A36" s="232"/>
      <c r="B36" s="191"/>
      <c r="C36" s="784"/>
      <c r="D36" s="191"/>
      <c r="E36" s="784"/>
      <c r="F36" s="191"/>
      <c r="G36" s="784"/>
      <c r="H36" s="191"/>
      <c r="I36" s="784"/>
    </row>
    <row r="37" spans="1:9" hidden="1">
      <c r="A37" s="232"/>
      <c r="B37" s="191"/>
      <c r="C37" s="784"/>
      <c r="D37" s="191"/>
      <c r="E37" s="784"/>
      <c r="F37" s="191"/>
      <c r="G37" s="784"/>
      <c r="H37" s="191"/>
      <c r="I37" s="784"/>
    </row>
    <row r="38" spans="1:9" hidden="1">
      <c r="A38" s="232"/>
      <c r="B38" s="191"/>
      <c r="C38" s="784"/>
      <c r="D38" s="191"/>
      <c r="E38" s="784"/>
      <c r="F38" s="191"/>
      <c r="G38" s="784"/>
      <c r="H38" s="191"/>
      <c r="I38" s="784"/>
    </row>
    <row r="39" spans="1:9" hidden="1">
      <c r="A39" s="232"/>
      <c r="B39" s="191"/>
      <c r="C39" s="784"/>
      <c r="D39" s="191"/>
      <c r="E39" s="784"/>
      <c r="F39" s="191"/>
      <c r="G39" s="784"/>
      <c r="H39" s="191"/>
      <c r="I39" s="784"/>
    </row>
    <row r="40" spans="1:9" hidden="1">
      <c r="A40" s="232"/>
      <c r="B40" s="191"/>
      <c r="C40" s="784"/>
      <c r="D40" s="191"/>
      <c r="E40" s="784"/>
      <c r="F40" s="191"/>
      <c r="G40" s="784"/>
      <c r="H40" s="191"/>
      <c r="I40" s="784"/>
    </row>
    <row r="41" spans="1:9" hidden="1">
      <c r="A41" s="232"/>
      <c r="B41" s="191"/>
      <c r="C41" s="784"/>
      <c r="D41" s="191"/>
      <c r="E41" s="784"/>
      <c r="F41" s="191"/>
      <c r="G41" s="784"/>
      <c r="H41" s="191"/>
      <c r="I41" s="784"/>
    </row>
    <row r="42" spans="1:9" hidden="1">
      <c r="A42" s="232"/>
      <c r="B42" s="191"/>
      <c r="C42" s="784"/>
      <c r="D42" s="191"/>
      <c r="E42" s="784"/>
      <c r="F42" s="191"/>
      <c r="G42" s="784"/>
      <c r="H42" s="191"/>
      <c r="I42" s="784"/>
    </row>
    <row r="43" spans="1:9" hidden="1">
      <c r="A43" s="232"/>
      <c r="B43" s="191"/>
      <c r="C43" s="784"/>
      <c r="D43" s="191"/>
      <c r="E43" s="784"/>
      <c r="F43" s="191"/>
      <c r="G43" s="784"/>
      <c r="H43" s="191"/>
      <c r="I43" s="784"/>
    </row>
    <row r="44" spans="1:9" hidden="1">
      <c r="A44" s="232"/>
      <c r="B44" s="191"/>
      <c r="C44" s="784"/>
      <c r="D44" s="191"/>
      <c r="E44" s="784"/>
      <c r="F44" s="191"/>
      <c r="G44" s="784"/>
      <c r="H44" s="191"/>
      <c r="I44" s="784"/>
    </row>
    <row r="45" spans="1:9" hidden="1">
      <c r="A45" s="232"/>
      <c r="B45" s="191"/>
      <c r="C45" s="784"/>
      <c r="D45" s="191"/>
      <c r="E45" s="784"/>
      <c r="F45" s="191"/>
      <c r="G45" s="784"/>
      <c r="H45" s="191"/>
      <c r="I45" s="784"/>
    </row>
    <row r="46" spans="1:9" hidden="1">
      <c r="A46" s="232"/>
      <c r="B46" s="191"/>
      <c r="C46" s="784"/>
      <c r="D46" s="191"/>
      <c r="E46" s="784"/>
      <c r="F46" s="191"/>
      <c r="G46" s="784"/>
      <c r="H46" s="191"/>
      <c r="I46" s="784"/>
    </row>
    <row r="47" spans="1:9" hidden="1">
      <c r="A47" s="232"/>
      <c r="B47" s="191"/>
      <c r="C47" s="784"/>
      <c r="D47" s="191"/>
      <c r="E47" s="784"/>
      <c r="F47" s="191"/>
      <c r="G47" s="784"/>
      <c r="H47" s="191"/>
      <c r="I47" s="784"/>
    </row>
    <row r="48" spans="1:9" hidden="1">
      <c r="A48" s="232"/>
      <c r="B48" s="191"/>
      <c r="C48" s="784"/>
      <c r="D48" s="191"/>
      <c r="E48" s="784"/>
      <c r="F48" s="191"/>
      <c r="G48" s="784"/>
      <c r="H48" s="191"/>
      <c r="I48" s="784"/>
    </row>
    <row r="49" spans="1:9" hidden="1">
      <c r="A49" s="232"/>
      <c r="B49" s="191"/>
      <c r="C49" s="784"/>
      <c r="D49" s="191"/>
      <c r="E49" s="784"/>
      <c r="F49" s="191"/>
      <c r="G49" s="784"/>
      <c r="H49" s="191"/>
      <c r="I49" s="784"/>
    </row>
    <row r="50" spans="1:9" hidden="1">
      <c r="A50" s="232"/>
      <c r="B50" s="191"/>
      <c r="C50" s="784"/>
      <c r="D50" s="191"/>
      <c r="E50" s="784"/>
      <c r="F50" s="191"/>
      <c r="G50" s="784"/>
      <c r="H50" s="191"/>
      <c r="I50" s="784"/>
    </row>
    <row r="51" spans="1:9" hidden="1">
      <c r="A51" s="232"/>
      <c r="B51" s="191"/>
      <c r="C51" s="784"/>
      <c r="D51" s="191"/>
      <c r="E51" s="784"/>
      <c r="F51" s="191"/>
      <c r="G51" s="784"/>
      <c r="H51" s="191"/>
      <c r="I51" s="784"/>
    </row>
    <row r="52" spans="1:9" hidden="1">
      <c r="A52" s="232"/>
      <c r="B52" s="191"/>
      <c r="C52" s="784"/>
      <c r="D52" s="191"/>
      <c r="E52" s="784"/>
      <c r="F52" s="191"/>
      <c r="G52" s="784"/>
      <c r="H52" s="191"/>
      <c r="I52" s="784"/>
    </row>
    <row r="53" spans="1:9" hidden="1">
      <c r="A53" s="232"/>
      <c r="B53" s="191"/>
      <c r="C53" s="784"/>
      <c r="D53" s="191"/>
      <c r="E53" s="784"/>
      <c r="F53" s="191"/>
      <c r="G53" s="784"/>
      <c r="H53" s="191"/>
      <c r="I53" s="784"/>
    </row>
    <row r="54" spans="1:9" hidden="1">
      <c r="A54" s="232"/>
      <c r="B54" s="191"/>
      <c r="C54" s="784"/>
      <c r="D54" s="191"/>
      <c r="E54" s="784"/>
      <c r="F54" s="191"/>
      <c r="G54" s="784"/>
      <c r="H54" s="191"/>
      <c r="I54" s="784"/>
    </row>
    <row r="55" spans="1:9" hidden="1">
      <c r="A55" s="232"/>
      <c r="B55" s="191"/>
      <c r="C55" s="784"/>
      <c r="D55" s="191"/>
      <c r="E55" s="784"/>
      <c r="F55" s="191"/>
      <c r="G55" s="784"/>
      <c r="H55" s="191"/>
      <c r="I55" s="784"/>
    </row>
    <row r="56" spans="1:9" hidden="1">
      <c r="A56" s="232"/>
      <c r="B56" s="191"/>
      <c r="C56" s="784"/>
      <c r="D56" s="191"/>
      <c r="E56" s="784"/>
      <c r="F56" s="191"/>
      <c r="G56" s="784"/>
      <c r="H56" s="191"/>
      <c r="I56" s="784"/>
    </row>
    <row r="57" spans="1:9" hidden="1">
      <c r="A57" s="232"/>
      <c r="B57" s="191"/>
      <c r="C57" s="784"/>
      <c r="D57" s="191"/>
      <c r="E57" s="784"/>
      <c r="F57" s="191"/>
      <c r="G57" s="784"/>
      <c r="H57" s="191"/>
      <c r="I57" s="784"/>
    </row>
    <row r="58" spans="1:9" ht="13.5" thickBot="1">
      <c r="A58" s="191"/>
      <c r="B58" s="191"/>
      <c r="C58" s="191"/>
      <c r="D58" s="191"/>
      <c r="E58" s="191"/>
      <c r="F58" s="191"/>
      <c r="G58" s="191"/>
      <c r="H58" s="191"/>
      <c r="I58" s="191"/>
    </row>
    <row r="59" spans="1:9" ht="13.5" thickBot="1">
      <c r="A59" s="233" t="s">
        <v>258</v>
      </c>
      <c r="B59" s="191"/>
      <c r="C59" s="785">
        <f>IF(SUM(C15:C57)='Fund Financial Stmt Template'!O95,SUM(C15:C57),"ERROR")</f>
        <v>0</v>
      </c>
      <c r="D59" s="191"/>
      <c r="E59" s="785">
        <f>IF(SUM(E15:E57)='Fund Financial Stmt Template'!O100,SUM(E15:E57),"ERROR")</f>
        <v>0</v>
      </c>
      <c r="F59" s="191"/>
      <c r="G59" s="785">
        <f>IF(SUM(G15:G57)='Fund Financial Stmt Template'!O102,SUM(G15:G57),"ERROR")</f>
        <v>0</v>
      </c>
      <c r="H59" s="191"/>
      <c r="I59" s="785">
        <f>IF(SUM(I15:I57)='Fund Financial Stmt Template'!O103,SUM(I15:I57),"ERROR")</f>
        <v>0</v>
      </c>
    </row>
    <row r="60" spans="1:9">
      <c r="A60" s="186"/>
      <c r="B60" s="191"/>
      <c r="C60" s="786"/>
      <c r="D60" s="787"/>
      <c r="E60" s="786"/>
      <c r="F60" s="787"/>
      <c r="G60" s="786"/>
      <c r="H60" s="787"/>
      <c r="I60" s="786"/>
    </row>
    <row r="61" spans="1:9">
      <c r="A61" s="788" t="s">
        <v>308</v>
      </c>
      <c r="B61" s="191"/>
      <c r="C61" s="789">
        <f>SUM(C15:C57)-'Fund Financial Stmt Template'!O95</f>
        <v>0</v>
      </c>
      <c r="D61" s="191"/>
      <c r="E61" s="789">
        <f>SUM(E15:E57)-'Fund Financial Stmt Template'!O100</f>
        <v>0</v>
      </c>
      <c r="F61" s="191"/>
      <c r="G61" s="789">
        <f>SUM(G15:G57)-'Fund Financial Stmt Template'!O102</f>
        <v>0</v>
      </c>
      <c r="H61" s="191"/>
      <c r="I61" s="789">
        <f>SUM(I15:I57)-'Fund Financial Stmt Template'!O103</f>
        <v>0</v>
      </c>
    </row>
    <row r="62" spans="1:9">
      <c r="A62" s="191"/>
      <c r="B62" s="191"/>
      <c r="C62" s="191"/>
      <c r="D62" s="191"/>
      <c r="E62" s="191"/>
      <c r="F62" s="191"/>
      <c r="G62" s="191"/>
      <c r="H62" s="191"/>
      <c r="I62" s="191"/>
    </row>
    <row r="63" spans="1:9">
      <c r="A63" s="191"/>
      <c r="B63" s="191"/>
      <c r="C63" s="191"/>
      <c r="D63" s="191"/>
      <c r="E63" s="191"/>
      <c r="F63" s="191"/>
      <c r="G63" s="191"/>
      <c r="H63" s="191"/>
      <c r="I63" s="191"/>
    </row>
    <row r="64" spans="1:9">
      <c r="A64" s="191"/>
      <c r="B64" s="191"/>
      <c r="C64" s="191"/>
      <c r="D64" s="191"/>
      <c r="E64" s="191"/>
      <c r="F64" s="191"/>
      <c r="G64" s="191"/>
      <c r="H64" s="191"/>
      <c r="I64" s="191"/>
    </row>
    <row r="65" spans="1:9">
      <c r="A65" s="191"/>
      <c r="B65" s="191"/>
      <c r="C65" s="191"/>
      <c r="D65" s="191"/>
      <c r="E65" s="191"/>
      <c r="F65" s="191"/>
      <c r="G65" s="191"/>
      <c r="H65" s="191"/>
      <c r="I65" s="191"/>
    </row>
  </sheetData>
  <sheetProtection algorithmName="SHA-512" hashValue="spBymxUkv1iC8gJ/8ZkGCZ7AO0WKvzfQYI4vaaFwAiOmmeggoOq5La8jShrDzrtebAl9VzhBRMmjm001cIO3Pw==" saltValue="sRS+PSF+mGmMuQB64xznZQ==" spinCount="100000" sheet="1" objects="1" scenarios="1"/>
  <customSheetViews>
    <customSheetView guid="{354F272F-821B-473B-9CC5-4001AD879606}" fitToPage="1" hiddenRows="1">
      <selection activeCell="C2" sqref="C2:G2"/>
      <pageMargins left="0.75" right="0.75" top="1" bottom="1" header="0.5" footer="0.5"/>
      <pageSetup scale="62" orientation="portrait" cellComments="asDisplayed" r:id="rId1"/>
      <headerFooter alignWithMargins="0">
        <oddHeader>&amp;C&amp;"Times New Roman,Bold"&amp;9Attachment 9
Governmental Fund Financial Statement Template
&amp;A</oddHeader>
        <oddFooter>&amp;L&amp;"Times New Roman,Regular"&amp;F\&amp;A&amp;R&amp;"Times New Roman,Regular"Page &amp;P</oddFooter>
      </headerFooter>
    </customSheetView>
  </customSheetViews>
  <mergeCells count="15">
    <mergeCell ref="A3:B3"/>
    <mergeCell ref="A4:B4"/>
    <mergeCell ref="A1:B1"/>
    <mergeCell ref="A2:B2"/>
    <mergeCell ref="A8:B8"/>
    <mergeCell ref="C1:G1"/>
    <mergeCell ref="C2:G2"/>
    <mergeCell ref="C3:G3"/>
    <mergeCell ref="C4:G4"/>
    <mergeCell ref="C5:G5"/>
    <mergeCell ref="C6:G6"/>
    <mergeCell ref="C8:G8"/>
    <mergeCell ref="A5:B5"/>
    <mergeCell ref="A6:B6"/>
    <mergeCell ref="A10:I11"/>
  </mergeCells>
  <phoneticPr fontId="40" type="noConversion"/>
  <conditionalFormatting sqref="A15">
    <cfRule type="cellIs" dxfId="122" priority="1" operator="equal">
      <formula>"Answer Required"</formula>
    </cfRule>
  </conditionalFormatting>
  <dataValidations count="2">
    <dataValidation type="whole" allowBlank="1" showInputMessage="1" showErrorMessage="1" error="Enter 3 digit agency number" sqref="C2" xr:uid="{00000000-0002-0000-0500-000000000000}">
      <formula1>100</formula1>
      <formula2>999</formula2>
    </dataValidation>
    <dataValidation type="whole" allowBlank="1" showInputMessage="1" showErrorMessage="1" error="Enter a whole number" sqref="I15:I35 G15:G35 C15:C35 E15:E35" xr:uid="{00000000-0002-0000-0500-000001000000}">
      <formula1>-9999999999999</formula1>
      <formula2>9999999999999</formula2>
    </dataValidation>
  </dataValidations>
  <pageMargins left="0.75" right="0.75" top="1" bottom="1" header="0.5" footer="0.5"/>
  <pageSetup scale="75" orientation="landscape" cellComments="asDisplayed" r:id="rId2"/>
  <headerFooter alignWithMargins="0">
    <oddHeader>&amp;C&amp;"Times New Roman,Bold"&amp;9Attachment 9
Governmental Fund Financial Statement Template
&amp;A</oddHeader>
    <oddFooter>&amp;L&amp;"Times New Roman,Regular"&amp;F\&amp;A&amp;R&amp;"Times New Roman,Regular"Page &amp;P</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29"/>
  <sheetViews>
    <sheetView zoomScale="110" zoomScaleNormal="110" workbookViewId="0">
      <selection activeCell="E1" sqref="E1:G1"/>
    </sheetView>
  </sheetViews>
  <sheetFormatPr defaultColWidth="7.5703125" defaultRowHeight="12"/>
  <cols>
    <col min="1" max="3" width="1.85546875" style="185" customWidth="1"/>
    <col min="4" max="4" width="46" style="185" customWidth="1"/>
    <col min="5" max="5" width="38.85546875" style="185" customWidth="1"/>
    <col min="6" max="6" width="2" style="185" customWidth="1"/>
    <col min="7" max="7" width="20.85546875" style="185" customWidth="1"/>
    <col min="8" max="8" width="1.5703125" style="185" customWidth="1"/>
    <col min="9" max="9" width="20.140625" style="185" customWidth="1"/>
    <col min="10" max="10" width="1.5703125" style="185" customWidth="1"/>
    <col min="11" max="11" width="19.85546875" style="185" customWidth="1"/>
    <col min="12" max="12" width="1.5703125" style="185" customWidth="1"/>
    <col min="13" max="13" width="20.140625" style="185" customWidth="1"/>
    <col min="14" max="14" width="1.5703125" style="185" customWidth="1"/>
    <col min="15" max="15" width="21.28515625" style="185" customWidth="1"/>
    <col min="16" max="16" width="1.5703125" style="185" customWidth="1"/>
    <col min="17" max="17" width="14.7109375" style="185" hidden="1" customWidth="1"/>
    <col min="18" max="18" width="1.5703125" style="185" hidden="1" customWidth="1"/>
    <col min="19" max="19" width="14.7109375" style="185" hidden="1" customWidth="1"/>
    <col min="20" max="20" width="1.5703125" style="185" hidden="1" customWidth="1"/>
    <col min="21" max="21" width="20" style="186" customWidth="1"/>
    <col min="22" max="22" width="12.140625" style="185" customWidth="1"/>
    <col min="23" max="16384" width="7.5703125" style="185"/>
  </cols>
  <sheetData>
    <row r="1" spans="1:21" ht="12.75" customHeight="1">
      <c r="A1" s="913" t="s">
        <v>399</v>
      </c>
      <c r="B1" s="960"/>
      <c r="C1" s="960"/>
      <c r="D1" s="960"/>
      <c r="E1" s="911" t="str">
        <f>IF('Fund Financial Stmt Template'!E1="","",'Fund Financial Stmt Template'!E1)</f>
        <v/>
      </c>
      <c r="F1" s="913"/>
      <c r="G1" s="913"/>
    </row>
    <row r="2" spans="1:21" ht="25.5" customHeight="1">
      <c r="A2" s="911" t="s">
        <v>362</v>
      </c>
      <c r="B2" s="960"/>
      <c r="C2" s="960"/>
      <c r="D2" s="960"/>
      <c r="E2" s="908" t="str">
        <f>'Fund Financial Stmt Template'!E2</f>
        <v/>
      </c>
      <c r="F2" s="948"/>
      <c r="G2" s="949"/>
    </row>
    <row r="3" spans="1:21" ht="12.75" customHeight="1">
      <c r="A3" s="911" t="s">
        <v>419</v>
      </c>
      <c r="B3" s="960"/>
      <c r="C3" s="960"/>
      <c r="D3" s="960"/>
      <c r="E3" s="950" t="str">
        <f>IF('Fund Financial Stmt Template'!E3="","",'Fund Financial Stmt Template'!E3)</f>
        <v/>
      </c>
      <c r="F3" s="951"/>
      <c r="G3" s="951"/>
    </row>
    <row r="4" spans="1:21" ht="12.75" customHeight="1">
      <c r="A4" s="911" t="s">
        <v>420</v>
      </c>
      <c r="B4" s="960"/>
      <c r="C4" s="960"/>
      <c r="D4" s="960"/>
      <c r="E4" s="952" t="str">
        <f>IF('Fund Financial Stmt Template'!E4="","",'Fund Financial Stmt Template'!E4)</f>
        <v/>
      </c>
      <c r="F4" s="953"/>
      <c r="G4" s="953"/>
    </row>
    <row r="5" spans="1:21" ht="12.75" customHeight="1">
      <c r="A5" s="911" t="s">
        <v>421</v>
      </c>
      <c r="B5" s="960"/>
      <c r="C5" s="960"/>
      <c r="D5" s="960"/>
      <c r="E5" s="941" t="str">
        <f>IF('Fund Financial Stmt Template'!E5="","",'Fund Financial Stmt Template'!E5)</f>
        <v/>
      </c>
      <c r="F5" s="942"/>
      <c r="G5" s="942"/>
    </row>
    <row r="6" spans="1:21" ht="12.75" customHeight="1">
      <c r="A6" s="911" t="s">
        <v>418</v>
      </c>
      <c r="B6" s="960"/>
      <c r="C6" s="960"/>
      <c r="D6" s="960"/>
      <c r="E6" s="943" t="str">
        <f>IF('Fund Financial Stmt Template'!E6="","",'Fund Financial Stmt Template'!E6)</f>
        <v/>
      </c>
      <c r="F6" s="944"/>
      <c r="G6" s="944"/>
    </row>
    <row r="7" spans="1:21" ht="12.75" customHeight="1">
      <c r="A7" s="188"/>
      <c r="E7" s="186"/>
    </row>
    <row r="8" spans="1:21" ht="12.75" customHeight="1">
      <c r="A8" s="911" t="s">
        <v>491</v>
      </c>
      <c r="B8" s="960"/>
      <c r="C8" s="960"/>
      <c r="D8" s="960"/>
      <c r="E8" s="896" t="str">
        <f>IF('Fund Financial Stmt Template'!E8="","",'Fund Financial Stmt Template'!E8)</f>
        <v/>
      </c>
      <c r="F8" s="945"/>
      <c r="G8" s="946"/>
    </row>
    <row r="9" spans="1:21" ht="12.75" customHeight="1">
      <c r="A9" s="188"/>
      <c r="E9" s="187"/>
    </row>
    <row r="10" spans="1:21" ht="12.75" customHeight="1">
      <c r="A10" s="188" t="s">
        <v>647</v>
      </c>
    </row>
    <row r="11" spans="1:21" ht="12.75" customHeight="1">
      <c r="A11" s="192" t="str">
        <f>'Fund Financial Stmt Template'!A14</f>
        <v>For the Year Ended June 30, 2024</v>
      </c>
    </row>
    <row r="12" spans="1:21" ht="12.75" customHeight="1"/>
    <row r="13" spans="1:21" ht="56.25" customHeight="1" thickBot="1">
      <c r="A13" s="193"/>
      <c r="B13" s="240"/>
      <c r="C13" s="240"/>
      <c r="D13" s="241"/>
      <c r="E13" s="194" t="s">
        <v>282</v>
      </c>
      <c r="G13" s="195" t="s">
        <v>3597</v>
      </c>
      <c r="H13" s="196"/>
      <c r="I13" s="195" t="s">
        <v>648</v>
      </c>
      <c r="J13" s="196"/>
      <c r="K13" s="195" t="s">
        <v>474</v>
      </c>
      <c r="L13" s="196"/>
      <c r="M13" s="195" t="s">
        <v>132</v>
      </c>
      <c r="N13" s="196"/>
      <c r="O13" s="195" t="s">
        <v>475</v>
      </c>
      <c r="Q13" s="195" t="s">
        <v>95</v>
      </c>
      <c r="S13" s="195" t="s">
        <v>94</v>
      </c>
      <c r="U13" s="195" t="s">
        <v>104</v>
      </c>
    </row>
    <row r="14" spans="1:21" s="189" customFormat="1" ht="12.75" customHeight="1">
      <c r="A14" s="189" t="s">
        <v>644</v>
      </c>
      <c r="G14" s="242"/>
      <c r="H14" s="242"/>
      <c r="J14" s="242"/>
      <c r="L14" s="242"/>
      <c r="U14" s="188"/>
    </row>
    <row r="15" spans="1:21" ht="12.75" customHeight="1">
      <c r="A15" s="189" t="s">
        <v>363</v>
      </c>
    </row>
    <row r="16" spans="1:21" ht="12.75" customHeight="1">
      <c r="B16" s="185" t="s">
        <v>457</v>
      </c>
      <c r="G16" s="200">
        <f>'Fund Financial Stmt Template'!O19</f>
        <v>0</v>
      </c>
      <c r="H16" s="199"/>
      <c r="I16" s="199"/>
      <c r="J16" s="199"/>
      <c r="K16" s="199"/>
      <c r="L16" s="199"/>
      <c r="M16" s="199"/>
      <c r="N16" s="199"/>
      <c r="O16" s="200">
        <f>SUM(G16)</f>
        <v>0</v>
      </c>
      <c r="Q16" s="201"/>
      <c r="S16" s="201">
        <f>O16+Q16</f>
        <v>0</v>
      </c>
    </row>
    <row r="17" spans="2:21" ht="12.75" customHeight="1">
      <c r="B17" s="185" t="s">
        <v>346</v>
      </c>
      <c r="G17" s="200">
        <f>'Fund Financial Stmt Template'!O20</f>
        <v>0</v>
      </c>
      <c r="H17" s="199"/>
      <c r="I17" s="199"/>
      <c r="J17" s="199"/>
      <c r="K17" s="199"/>
      <c r="L17" s="199"/>
      <c r="M17" s="199"/>
      <c r="N17" s="199"/>
      <c r="O17" s="200">
        <f>SUM(G17)</f>
        <v>0</v>
      </c>
      <c r="Q17" s="201"/>
      <c r="S17" s="201">
        <f>O17+Q17</f>
        <v>0</v>
      </c>
    </row>
    <row r="18" spans="2:21" ht="12.75" customHeight="1">
      <c r="B18" s="185" t="s">
        <v>133</v>
      </c>
      <c r="G18" s="200">
        <f>'Fund Financial Stmt Template'!O21</f>
        <v>0</v>
      </c>
      <c r="H18" s="199"/>
      <c r="I18" s="199"/>
      <c r="J18" s="199"/>
      <c r="K18" s="199"/>
      <c r="L18" s="199"/>
      <c r="M18" s="199"/>
      <c r="N18" s="199"/>
      <c r="O18" s="200">
        <f>SUM(G18)</f>
        <v>0</v>
      </c>
      <c r="Q18" s="201"/>
      <c r="S18" s="201">
        <f>O18+Q18</f>
        <v>0</v>
      </c>
    </row>
    <row r="19" spans="2:21" ht="12.75" customHeight="1">
      <c r="B19" s="185" t="s">
        <v>277</v>
      </c>
      <c r="G19" s="200">
        <f>'Fund Financial Stmt Template'!O22</f>
        <v>0</v>
      </c>
      <c r="H19" s="199"/>
      <c r="I19" s="199"/>
      <c r="J19" s="199"/>
      <c r="K19" s="199"/>
      <c r="L19" s="199"/>
      <c r="M19" s="199"/>
      <c r="N19" s="199"/>
      <c r="O19" s="200">
        <f>SUM(G19)</f>
        <v>0</v>
      </c>
      <c r="Q19" s="201"/>
      <c r="S19" s="201"/>
    </row>
    <row r="20" spans="2:21" ht="12.75" customHeight="1">
      <c r="B20" s="185" t="s">
        <v>360</v>
      </c>
      <c r="G20" s="200">
        <f>'Fund Financial Stmt Template'!O23</f>
        <v>0</v>
      </c>
      <c r="H20" s="199"/>
      <c r="I20" s="199"/>
      <c r="J20" s="199"/>
      <c r="K20" s="199"/>
      <c r="L20" s="199"/>
      <c r="M20" s="199"/>
      <c r="N20" s="199"/>
      <c r="O20" s="200">
        <f>SUM(G20)</f>
        <v>0</v>
      </c>
      <c r="Q20" s="201"/>
      <c r="S20" s="201">
        <f>O20+Q20</f>
        <v>0</v>
      </c>
    </row>
    <row r="21" spans="2:21" ht="12.75" customHeight="1">
      <c r="C21" s="203" t="s">
        <v>364</v>
      </c>
      <c r="G21" s="200">
        <f>IF(SUM(G16:G20)=SUM('Fund Financial Stmt Template'!O24),SUM(G16:G20),"ERROR")</f>
        <v>0</v>
      </c>
      <c r="H21" s="199"/>
      <c r="I21" s="199"/>
      <c r="J21" s="199"/>
      <c r="K21" s="199"/>
      <c r="L21" s="199"/>
      <c r="M21" s="199"/>
      <c r="N21" s="199"/>
      <c r="O21" s="200">
        <f>IF(SUM(G21)=SUM(O16:O20),SUM(O16:O20),"ERROR")</f>
        <v>0</v>
      </c>
      <c r="Q21" s="201">
        <f>SUM(Q16:Q20)</f>
        <v>0</v>
      </c>
      <c r="S21" s="201">
        <f>IF(SUM(O21,Q21)=SUM(S16:S20),SUM(S16:S20),"ERROR")</f>
        <v>0</v>
      </c>
    </row>
    <row r="22" spans="2:21" ht="12.75" customHeight="1">
      <c r="G22" s="199"/>
      <c r="H22" s="199"/>
      <c r="I22" s="199"/>
      <c r="J22" s="199"/>
      <c r="K22" s="199"/>
      <c r="L22" s="199"/>
      <c r="M22" s="199"/>
      <c r="N22" s="199"/>
      <c r="O22" s="204"/>
      <c r="Q22" s="204"/>
      <c r="S22" s="204"/>
    </row>
    <row r="23" spans="2:21" ht="12.75" customHeight="1">
      <c r="B23" s="185" t="s">
        <v>443</v>
      </c>
      <c r="G23" s="200">
        <f>'Fund Financial Stmt Template'!O26</f>
        <v>0</v>
      </c>
      <c r="H23" s="199"/>
      <c r="I23" s="199"/>
      <c r="J23" s="199"/>
      <c r="K23" s="199"/>
      <c r="L23" s="199"/>
      <c r="M23" s="199"/>
      <c r="N23" s="199"/>
      <c r="O23" s="200">
        <f>SUM(G23)</f>
        <v>0</v>
      </c>
      <c r="Q23" s="201"/>
      <c r="S23" s="201">
        <f>O23+Q23</f>
        <v>0</v>
      </c>
    </row>
    <row r="24" spans="2:21" ht="12.75" customHeight="1">
      <c r="B24" s="185" t="s">
        <v>361</v>
      </c>
      <c r="G24" s="200">
        <f>'Fund Financial Stmt Template'!O27</f>
        <v>0</v>
      </c>
      <c r="H24" s="199"/>
      <c r="I24" s="199"/>
      <c r="J24" s="199"/>
      <c r="K24" s="199"/>
      <c r="L24" s="199"/>
      <c r="M24" s="199"/>
      <c r="N24" s="199"/>
      <c r="O24" s="205">
        <f>SUM(G24)</f>
        <v>0</v>
      </c>
      <c r="Q24" s="218"/>
      <c r="S24" s="201">
        <f>O24+Q24</f>
        <v>0</v>
      </c>
    </row>
    <row r="25" spans="2:21" ht="12.75" customHeight="1">
      <c r="C25" s="203" t="s">
        <v>366</v>
      </c>
      <c r="G25" s="200">
        <f>IF(SUM(G23:G24)=SUM('Fund Financial Stmt Template'!O28),SUM(G23:G24),"ERROR")</f>
        <v>0</v>
      </c>
      <c r="H25" s="199"/>
      <c r="I25" s="199"/>
      <c r="J25" s="199"/>
      <c r="K25" s="199"/>
      <c r="L25" s="199"/>
      <c r="M25" s="199"/>
      <c r="N25" s="199"/>
      <c r="O25" s="200">
        <f>IF(SUM(G25)=SUM(O23:O24),SUM(O23:O24),"ERROR")</f>
        <v>0</v>
      </c>
      <c r="Q25" s="201">
        <f>SUM(Q23:Q24)</f>
        <v>0</v>
      </c>
      <c r="S25" s="201">
        <f>IF(SUM(O25,Q25)=SUM(S23:S24),SUM(S23:S24),"ERROR")</f>
        <v>0</v>
      </c>
    </row>
    <row r="26" spans="2:21" ht="12.75" customHeight="1">
      <c r="C26" s="203"/>
      <c r="G26" s="212"/>
      <c r="H26" s="199"/>
      <c r="I26" s="199"/>
      <c r="J26" s="199"/>
      <c r="K26" s="199"/>
      <c r="L26" s="199"/>
      <c r="M26" s="199"/>
      <c r="N26" s="199"/>
      <c r="O26" s="212"/>
      <c r="Q26" s="199"/>
      <c r="S26" s="199"/>
    </row>
    <row r="27" spans="2:21" ht="12.75" customHeight="1">
      <c r="B27" s="185" t="s">
        <v>3081</v>
      </c>
      <c r="C27" s="203"/>
      <c r="G27" s="200">
        <f>'Fund Financial Stmt Template'!O30</f>
        <v>0</v>
      </c>
      <c r="H27" s="199"/>
      <c r="I27" s="199"/>
      <c r="J27" s="199"/>
      <c r="K27" s="199"/>
      <c r="L27" s="199"/>
      <c r="M27" s="199"/>
      <c r="N27" s="199"/>
      <c r="O27" s="200">
        <f>SUM(G27)</f>
        <v>0</v>
      </c>
      <c r="Q27" s="199"/>
      <c r="S27" s="199"/>
    </row>
    <row r="28" spans="2:21" ht="12.75" customHeight="1">
      <c r="C28" s="206"/>
      <c r="G28" s="199"/>
      <c r="H28" s="199"/>
      <c r="I28" s="199"/>
      <c r="J28" s="199"/>
      <c r="K28" s="199"/>
      <c r="L28" s="199"/>
      <c r="M28" s="199"/>
      <c r="N28" s="199"/>
      <c r="O28" s="204"/>
      <c r="Q28" s="204"/>
      <c r="S28" s="204"/>
    </row>
    <row r="29" spans="2:21" ht="12.75" customHeight="1">
      <c r="B29" s="185" t="s">
        <v>297</v>
      </c>
      <c r="G29" s="200">
        <f>'Fund Financial Stmt Template'!O32</f>
        <v>0</v>
      </c>
      <c r="H29" s="199"/>
      <c r="I29" s="199"/>
      <c r="J29" s="199"/>
      <c r="K29" s="199"/>
      <c r="L29" s="199"/>
      <c r="M29" s="199"/>
      <c r="N29" s="199"/>
      <c r="O29" s="200">
        <f>SUM(G29)</f>
        <v>0</v>
      </c>
      <c r="Q29" s="201"/>
      <c r="S29" s="201">
        <f>O29+Q29</f>
        <v>0</v>
      </c>
      <c r="U29" s="216"/>
    </row>
    <row r="30" spans="2:21" ht="12.75" customHeight="1">
      <c r="B30" s="185" t="s">
        <v>2833</v>
      </c>
      <c r="G30" s="200">
        <f>'Fund Financial Stmt Template'!O33</f>
        <v>0</v>
      </c>
      <c r="H30" s="199"/>
      <c r="I30" s="199"/>
      <c r="J30" s="199"/>
      <c r="K30" s="199"/>
      <c r="L30" s="199"/>
      <c r="M30" s="199"/>
      <c r="N30" s="199"/>
      <c r="O30" s="200">
        <f t="shared" ref="O30:O31" si="0">SUM(G30)</f>
        <v>0</v>
      </c>
      <c r="Q30" s="201"/>
      <c r="S30" s="201"/>
      <c r="U30" s="216"/>
    </row>
    <row r="31" spans="2:21" ht="12.75" customHeight="1">
      <c r="B31" s="185" t="s">
        <v>2834</v>
      </c>
      <c r="G31" s="200">
        <f>'Fund Financial Stmt Template'!O34</f>
        <v>0</v>
      </c>
      <c r="H31" s="199"/>
      <c r="I31" s="199"/>
      <c r="J31" s="199"/>
      <c r="K31" s="199"/>
      <c r="L31" s="199"/>
      <c r="M31" s="199"/>
      <c r="N31" s="199"/>
      <c r="O31" s="200">
        <f t="shared" si="0"/>
        <v>0</v>
      </c>
      <c r="Q31" s="201"/>
      <c r="S31" s="201"/>
      <c r="U31" s="216"/>
    </row>
    <row r="32" spans="2:21">
      <c r="B32" s="185" t="s">
        <v>3082</v>
      </c>
      <c r="G32" s="200">
        <f>'Fund Financial Stmt Template'!O35</f>
        <v>0</v>
      </c>
      <c r="H32" s="199"/>
      <c r="I32" s="199"/>
      <c r="J32" s="199"/>
      <c r="K32" s="199"/>
      <c r="L32" s="199"/>
      <c r="M32" s="199"/>
      <c r="N32" s="199"/>
      <c r="O32" s="200">
        <f>SUM(G32)</f>
        <v>0</v>
      </c>
      <c r="Q32" s="201"/>
      <c r="S32" s="201">
        <f>O32+Q32</f>
        <v>0</v>
      </c>
      <c r="U32" s="216"/>
    </row>
    <row r="33" spans="2:21" ht="12.75" customHeight="1">
      <c r="C33" s="203" t="s">
        <v>365</v>
      </c>
      <c r="G33" s="200">
        <f>IF(SUM(G29:G32)=SUM('Fund Financial Stmt Template'!O36),SUM(G29:G32),"ERROR")</f>
        <v>0</v>
      </c>
      <c r="H33" s="199"/>
      <c r="I33" s="199"/>
      <c r="J33" s="199"/>
      <c r="K33" s="199"/>
      <c r="L33" s="199"/>
      <c r="M33" s="199"/>
      <c r="N33" s="199"/>
      <c r="O33" s="200">
        <f>IF(SUM(G33)=SUM(O29:O32),SUM(O29:O32),"ERROR")</f>
        <v>0</v>
      </c>
      <c r="Q33" s="201">
        <f>SUM(Q29:Q32)</f>
        <v>0</v>
      </c>
      <c r="S33" s="201">
        <f>IF(SUM(O33,Q33)=SUM(S29:S32),SUM(S29:S32),"ERROR")</f>
        <v>0</v>
      </c>
      <c r="U33" s="216"/>
    </row>
    <row r="34" spans="2:21" ht="12.75" customHeight="1">
      <c r="G34" s="199"/>
      <c r="H34" s="199"/>
      <c r="I34" s="199"/>
      <c r="J34" s="199"/>
      <c r="K34" s="199"/>
      <c r="L34" s="199"/>
      <c r="M34" s="199"/>
      <c r="N34" s="199"/>
      <c r="O34" s="204"/>
      <c r="Q34" s="204"/>
      <c r="S34" s="204"/>
    </row>
    <row r="35" spans="2:21" ht="12.75" customHeight="1">
      <c r="B35" s="203" t="s">
        <v>460</v>
      </c>
      <c r="E35" s="208"/>
      <c r="G35" s="200">
        <f>'Fund Financial Stmt Template'!O38-'Fund Financial Stmt Template'!O72</f>
        <v>0</v>
      </c>
      <c r="H35" s="199"/>
      <c r="I35" s="199"/>
      <c r="J35" s="199"/>
      <c r="K35" s="236"/>
      <c r="L35" s="199"/>
      <c r="M35" s="236"/>
      <c r="N35" s="199"/>
      <c r="O35" s="200">
        <f>SUM(G35,K35,M35)</f>
        <v>0</v>
      </c>
      <c r="Q35" s="201"/>
      <c r="S35" s="201">
        <f>O35+Q35</f>
        <v>0</v>
      </c>
    </row>
    <row r="36" spans="2:21">
      <c r="B36" s="185" t="s">
        <v>67</v>
      </c>
      <c r="G36" s="200">
        <f>'Fund Financial Stmt Template'!O39</f>
        <v>0</v>
      </c>
      <c r="H36" s="199"/>
      <c r="I36" s="199"/>
      <c r="J36" s="199"/>
      <c r="K36" s="199"/>
      <c r="L36" s="199"/>
      <c r="M36" s="199"/>
      <c r="N36" s="199"/>
      <c r="O36" s="200">
        <f>SUM(G36,K36,M36)</f>
        <v>0</v>
      </c>
      <c r="Q36" s="201"/>
      <c r="S36" s="201">
        <f>O36+Q36</f>
        <v>0</v>
      </c>
      <c r="U36" s="216"/>
    </row>
    <row r="37" spans="2:21" ht="12.75" customHeight="1">
      <c r="B37" s="203" t="s">
        <v>347</v>
      </c>
      <c r="G37" s="200">
        <f>'Fund Financial Stmt Template'!O40</f>
        <v>0</v>
      </c>
      <c r="H37" s="199"/>
      <c r="I37" s="199"/>
      <c r="J37" s="199"/>
      <c r="K37" s="199"/>
      <c r="L37" s="199"/>
      <c r="M37" s="199"/>
      <c r="N37" s="199"/>
      <c r="O37" s="200">
        <f>SUM(G37)</f>
        <v>0</v>
      </c>
      <c r="Q37" s="201"/>
      <c r="S37" s="201">
        <f>O37+Q37</f>
        <v>0</v>
      </c>
      <c r="U37" s="216"/>
    </row>
    <row r="38" spans="2:21" ht="12.75" customHeight="1">
      <c r="B38" s="203" t="s">
        <v>348</v>
      </c>
      <c r="G38" s="200">
        <f>'Fund Financial Stmt Template'!O41</f>
        <v>0</v>
      </c>
      <c r="H38" s="199"/>
      <c r="I38" s="199"/>
      <c r="J38" s="199"/>
      <c r="K38" s="199"/>
      <c r="L38" s="199"/>
      <c r="M38" s="199"/>
      <c r="N38" s="199"/>
      <c r="O38" s="200">
        <f>SUM(G38)</f>
        <v>0</v>
      </c>
      <c r="Q38" s="201"/>
      <c r="S38" s="201">
        <f>O38+Q38</f>
        <v>0</v>
      </c>
    </row>
    <row r="39" spans="2:21" ht="12.75" customHeight="1">
      <c r="G39" s="199"/>
      <c r="H39" s="199"/>
      <c r="I39" s="199"/>
      <c r="J39" s="199"/>
      <c r="K39" s="199"/>
      <c r="L39" s="199"/>
      <c r="M39" s="199"/>
      <c r="N39" s="199"/>
      <c r="O39" s="204"/>
      <c r="Q39" s="204"/>
      <c r="S39" s="204"/>
    </row>
    <row r="40" spans="2:21" ht="12.75" customHeight="1">
      <c r="B40" s="185" t="s">
        <v>2851</v>
      </c>
      <c r="C40" s="203"/>
      <c r="G40" s="200">
        <f>'Fund Financial Stmt Template'!O43</f>
        <v>0</v>
      </c>
      <c r="H40" s="199"/>
      <c r="I40" s="199"/>
      <c r="J40" s="199"/>
      <c r="K40" s="199"/>
      <c r="L40" s="199"/>
      <c r="M40" s="199"/>
      <c r="N40" s="199"/>
      <c r="O40" s="200">
        <f>SUM(G40)</f>
        <v>0</v>
      </c>
      <c r="Q40" s="201"/>
      <c r="S40" s="201">
        <f>O40+Q40</f>
        <v>0</v>
      </c>
    </row>
    <row r="41" spans="2:21" ht="12.75" customHeight="1">
      <c r="B41" s="185" t="s">
        <v>2850</v>
      </c>
      <c r="C41" s="203"/>
      <c r="G41" s="200">
        <f>'Fund Financial Stmt Template'!O44</f>
        <v>0</v>
      </c>
      <c r="H41" s="199"/>
      <c r="I41" s="199"/>
      <c r="J41" s="199"/>
      <c r="K41" s="199"/>
      <c r="L41" s="199"/>
      <c r="M41" s="199"/>
      <c r="N41" s="199"/>
      <c r="O41" s="200">
        <f>SUM(G41)</f>
        <v>0</v>
      </c>
      <c r="Q41" s="201"/>
      <c r="S41" s="201"/>
    </row>
    <row r="42" spans="2:21" ht="12.75" customHeight="1">
      <c r="B42" s="185" t="s">
        <v>345</v>
      </c>
      <c r="C42" s="203"/>
      <c r="G42" s="200">
        <f>'Fund Financial Stmt Template'!O45</f>
        <v>0</v>
      </c>
      <c r="H42" s="199"/>
      <c r="I42" s="199"/>
      <c r="J42" s="199"/>
      <c r="K42" s="199"/>
      <c r="L42" s="199"/>
      <c r="M42" s="199"/>
      <c r="N42" s="199"/>
      <c r="O42" s="200">
        <f>SUM(G42)</f>
        <v>0</v>
      </c>
      <c r="Q42" s="201"/>
      <c r="S42" s="201">
        <f>O42+Q42</f>
        <v>0</v>
      </c>
    </row>
    <row r="43" spans="2:21" ht="12.75" hidden="1" customHeight="1">
      <c r="B43" s="185" t="s">
        <v>349</v>
      </c>
      <c r="G43" s="200">
        <f>'Fund Financial Stmt Template'!O46</f>
        <v>0</v>
      </c>
      <c r="H43" s="199"/>
      <c r="I43" s="199"/>
      <c r="J43" s="199"/>
      <c r="K43" s="201"/>
      <c r="L43" s="199"/>
      <c r="M43" s="201"/>
      <c r="N43" s="199"/>
      <c r="O43" s="200">
        <f>SUM(G43,K43,M43)</f>
        <v>0</v>
      </c>
      <c r="Q43" s="201"/>
      <c r="S43" s="201">
        <f>O43+Q43</f>
        <v>0</v>
      </c>
    </row>
    <row r="44" spans="2:21">
      <c r="B44" s="185" t="s">
        <v>287</v>
      </c>
      <c r="G44" s="200">
        <f>'Fund Financial Stmt Template'!O47</f>
        <v>0</v>
      </c>
      <c r="H44" s="199"/>
      <c r="I44" s="199"/>
      <c r="J44" s="199"/>
      <c r="K44" s="199"/>
      <c r="L44" s="199"/>
      <c r="M44" s="199"/>
      <c r="N44" s="199"/>
      <c r="O44" s="200">
        <f>SUM(G44,K44,M44)</f>
        <v>0</v>
      </c>
      <c r="Q44" s="201"/>
      <c r="S44" s="201">
        <f>O44+Q44</f>
        <v>0</v>
      </c>
      <c r="U44" s="216"/>
    </row>
    <row r="45" spans="2:21" ht="12.75" customHeight="1">
      <c r="C45" s="203" t="s">
        <v>368</v>
      </c>
      <c r="G45" s="200">
        <f>IF(SUM(G40,G42,G41,G44)=SUM('Fund Financial Stmt Template'!O48),SUM(G40,G42,G41,G44),"ERROR")</f>
        <v>0</v>
      </c>
      <c r="H45" s="199"/>
      <c r="I45" s="199"/>
      <c r="J45" s="199"/>
      <c r="K45" s="200">
        <f>SUM(K43:K44)</f>
        <v>0</v>
      </c>
      <c r="L45" s="199"/>
      <c r="M45" s="200">
        <f>SUM(M43:M44)</f>
        <v>0</v>
      </c>
      <c r="N45" s="199"/>
      <c r="O45" s="200">
        <f>IF(SUM(G45,K45,M45)=SUM(O40:O44),SUM(O40:O44),"ERROR")</f>
        <v>0</v>
      </c>
      <c r="Q45" s="201">
        <f>SUM(Q40:Q44)</f>
        <v>0</v>
      </c>
      <c r="S45" s="201">
        <f>IF(SUM(O45,Q45)=SUM(S40:S44),SUM(S40:S44),"ERROR")</f>
        <v>0</v>
      </c>
    </row>
    <row r="46" spans="2:21" ht="12.75" customHeight="1">
      <c r="C46" s="203"/>
      <c r="G46" s="199"/>
      <c r="H46" s="199"/>
      <c r="I46" s="199"/>
      <c r="J46" s="199"/>
      <c r="K46" s="199"/>
      <c r="L46" s="199"/>
      <c r="M46" s="199"/>
      <c r="N46" s="199"/>
      <c r="O46" s="199"/>
      <c r="Q46" s="199"/>
      <c r="S46" s="199"/>
    </row>
    <row r="47" spans="2:21" ht="12.75" customHeight="1">
      <c r="B47" s="203" t="s">
        <v>461</v>
      </c>
      <c r="C47" s="203"/>
      <c r="G47" s="199"/>
      <c r="H47" s="199"/>
      <c r="I47" s="199"/>
      <c r="J47" s="199"/>
      <c r="K47" s="199"/>
      <c r="L47" s="199"/>
      <c r="M47" s="200"/>
      <c r="N47" s="199"/>
      <c r="O47" s="200">
        <f>M47</f>
        <v>0</v>
      </c>
      <c r="Q47" s="201"/>
      <c r="S47" s="201">
        <f>O47+Q47</f>
        <v>0</v>
      </c>
      <c r="U47" s="202"/>
    </row>
    <row r="48" spans="2:21" ht="12.75" customHeight="1">
      <c r="B48" s="6" t="s">
        <v>3246</v>
      </c>
      <c r="C48" s="203"/>
      <c r="G48" s="199"/>
      <c r="H48" s="199"/>
      <c r="I48" s="199"/>
      <c r="J48" s="199"/>
      <c r="K48" s="199"/>
      <c r="L48" s="199"/>
      <c r="M48" s="200"/>
      <c r="N48" s="199"/>
      <c r="O48" s="200">
        <f>M48</f>
        <v>0</v>
      </c>
      <c r="Q48" s="201"/>
      <c r="S48" s="201">
        <f>O48+Q48</f>
        <v>0</v>
      </c>
      <c r="U48" s="202"/>
    </row>
    <row r="49" spans="1:21" ht="12.75" customHeight="1" thickBot="1">
      <c r="C49" s="203"/>
      <c r="G49" s="199"/>
      <c r="H49" s="199"/>
      <c r="I49" s="199"/>
      <c r="J49" s="199"/>
      <c r="K49" s="199"/>
      <c r="L49" s="199"/>
      <c r="M49" s="199"/>
      <c r="N49" s="199"/>
      <c r="O49" s="204"/>
      <c r="Q49" s="204"/>
      <c r="S49" s="204"/>
    </row>
    <row r="50" spans="1:21" ht="12.75" customHeight="1" thickBot="1">
      <c r="E50" s="209" t="s">
        <v>350</v>
      </c>
      <c r="G50" s="200">
        <f>SUM(G21,G25,G33,G35:G38,G45,G27)</f>
        <v>0</v>
      </c>
      <c r="H50" s="199"/>
      <c r="I50" s="199"/>
      <c r="J50" s="199"/>
      <c r="K50" s="210">
        <f>SUM(K35,K45)</f>
        <v>0</v>
      </c>
      <c r="L50" s="199"/>
      <c r="M50" s="210">
        <f>SUM(M35,M45,M47:M48)</f>
        <v>0</v>
      </c>
      <c r="N50" s="199"/>
      <c r="O50" s="210">
        <f>IF(SUM(G50,K50,M50)=SUM(O21,O25,O33,O35:O38,O45,O47:O48,O27),SUM(O21,O25,O33,O35:O38,O45,O47:O48,O27),"ERROR")</f>
        <v>0</v>
      </c>
      <c r="Q50" s="211" t="e">
        <f>SUM(Q21,Q25,#REF!,Q33,Q35:Q38,Q45,Q47:Q48)</f>
        <v>#REF!</v>
      </c>
      <c r="S50" s="211" t="e">
        <f>IF(SUM(O50,Q50)=SUM(S21,S25,#REF!,S33,S35:S38,S45,S47:S48),SUM(S21,S25,#REF!,S33,S35:S38,S45,S47:S48),"ERROR")</f>
        <v>#REF!</v>
      </c>
    </row>
    <row r="51" spans="1:21" ht="12.75" customHeight="1">
      <c r="E51" s="209"/>
      <c r="G51" s="212"/>
      <c r="H51" s="199"/>
      <c r="I51" s="199"/>
      <c r="J51" s="199"/>
      <c r="K51" s="212"/>
      <c r="L51" s="199"/>
      <c r="M51" s="212"/>
      <c r="N51" s="199"/>
      <c r="O51" s="212"/>
      <c r="Q51" s="199"/>
      <c r="S51" s="199"/>
    </row>
    <row r="52" spans="1:21" ht="12.75" customHeight="1">
      <c r="A52" s="189" t="s">
        <v>631</v>
      </c>
      <c r="E52" s="209"/>
      <c r="G52" s="200">
        <f>'Fund Financial Stmt Template'!O52</f>
        <v>0</v>
      </c>
      <c r="H52" s="199"/>
      <c r="I52" s="199"/>
      <c r="J52" s="199"/>
      <c r="K52" s="236"/>
      <c r="L52" s="199"/>
      <c r="M52" s="236"/>
      <c r="N52" s="199"/>
      <c r="O52" s="200">
        <f>G52+K52+M52</f>
        <v>0</v>
      </c>
      <c r="Q52" s="199"/>
      <c r="S52" s="199"/>
      <c r="U52" s="202" t="s">
        <v>55</v>
      </c>
    </row>
    <row r="53" spans="1:21" ht="12.75" customHeight="1" thickBot="1">
      <c r="A53" s="189"/>
      <c r="E53" s="209"/>
      <c r="G53" s="212"/>
      <c r="H53" s="199"/>
      <c r="I53" s="199"/>
      <c r="J53" s="199"/>
      <c r="K53" s="212"/>
      <c r="L53" s="199"/>
      <c r="M53" s="212"/>
      <c r="N53" s="199"/>
      <c r="O53" s="212"/>
      <c r="Q53" s="199"/>
      <c r="S53" s="199"/>
    </row>
    <row r="54" spans="1:21" ht="24.75" thickBot="1">
      <c r="A54" s="189"/>
      <c r="E54" s="243" t="s">
        <v>756</v>
      </c>
      <c r="G54" s="200">
        <f>SUM(G50,G52)</f>
        <v>0</v>
      </c>
      <c r="H54" s="199"/>
      <c r="I54" s="199"/>
      <c r="J54" s="199"/>
      <c r="K54" s="210">
        <f>K50+K52</f>
        <v>0</v>
      </c>
      <c r="L54" s="199"/>
      <c r="M54" s="210">
        <f>M50+M52</f>
        <v>0</v>
      </c>
      <c r="N54" s="199"/>
      <c r="O54" s="210">
        <f>IF(SUM(O50,O52)=SUM(G54,K54,M54),SUM(O50,O52),"ERROR")</f>
        <v>0</v>
      </c>
      <c r="Q54" s="199"/>
      <c r="S54" s="199"/>
    </row>
    <row r="55" spans="1:21" ht="12.75" customHeight="1" thickBot="1">
      <c r="E55" s="209"/>
      <c r="G55" s="199"/>
      <c r="H55" s="199"/>
      <c r="I55" s="199"/>
      <c r="J55" s="199"/>
      <c r="K55" s="199"/>
      <c r="L55" s="199"/>
      <c r="M55" s="199"/>
      <c r="N55" s="199"/>
      <c r="O55" s="199"/>
      <c r="Q55" s="199"/>
      <c r="S55" s="199"/>
    </row>
    <row r="56" spans="1:21" ht="12.75" customHeight="1" thickBot="1">
      <c r="E56" s="209"/>
      <c r="G56" s="199"/>
      <c r="H56" s="199"/>
      <c r="J56" s="199"/>
      <c r="K56" s="199"/>
      <c r="L56" s="199"/>
      <c r="M56" s="244" t="s">
        <v>309</v>
      </c>
      <c r="N56" s="199"/>
      <c r="O56" s="225">
        <f>(SUM(G54,K54,M54))-(SUM(O21,O25,O33,O35:O38,O45,O47:O48, O52,O27))</f>
        <v>0</v>
      </c>
      <c r="Q56" s="199"/>
      <c r="S56" s="199"/>
    </row>
    <row r="57" spans="1:21" ht="12.75" hidden="1" customHeight="1">
      <c r="E57" s="209"/>
      <c r="G57" s="199"/>
      <c r="H57" s="199"/>
      <c r="I57" s="244"/>
      <c r="J57" s="199"/>
      <c r="K57" s="199"/>
      <c r="L57" s="199"/>
      <c r="M57" s="199"/>
      <c r="N57" s="199"/>
      <c r="O57" s="245"/>
      <c r="Q57" s="199"/>
      <c r="S57" s="199"/>
    </row>
    <row r="58" spans="1:21" ht="12.75" hidden="1" customHeight="1">
      <c r="E58" s="209"/>
      <c r="G58" s="199"/>
      <c r="H58" s="199"/>
      <c r="I58" s="244"/>
      <c r="J58" s="199"/>
      <c r="K58" s="199"/>
      <c r="L58" s="199"/>
      <c r="M58" s="199"/>
      <c r="N58" s="199"/>
      <c r="O58" s="245"/>
      <c r="Q58" s="199"/>
      <c r="S58" s="199"/>
    </row>
    <row r="59" spans="1:21" ht="12.75" customHeight="1">
      <c r="E59" s="209"/>
      <c r="G59" s="199"/>
      <c r="H59" s="199"/>
      <c r="I59" s="244"/>
      <c r="J59" s="199"/>
      <c r="K59" s="199"/>
      <c r="L59" s="199"/>
      <c r="M59" s="199"/>
      <c r="N59" s="199"/>
      <c r="O59" s="245"/>
      <c r="Q59" s="199"/>
      <c r="S59" s="199"/>
    </row>
    <row r="60" spans="1:21" ht="12.75" customHeight="1">
      <c r="E60" s="209"/>
      <c r="G60" s="246"/>
      <c r="H60" s="199"/>
      <c r="I60" s="199"/>
      <c r="J60" s="199"/>
      <c r="K60" s="199"/>
      <c r="L60" s="199"/>
      <c r="M60" s="199"/>
      <c r="N60" s="199"/>
      <c r="O60" s="199"/>
      <c r="Q60" s="199"/>
      <c r="S60" s="199"/>
    </row>
    <row r="61" spans="1:21" ht="12.75" customHeight="1">
      <c r="A61" s="913" t="str">
        <f>A2</f>
        <v>Agency Name:</v>
      </c>
      <c r="B61" s="960"/>
      <c r="C61" s="960"/>
      <c r="D61" s="960"/>
      <c r="E61" s="947" t="str">
        <f>E2</f>
        <v/>
      </c>
      <c r="F61" s="947"/>
      <c r="G61" s="947"/>
    </row>
    <row r="62" spans="1:21" ht="12.75" customHeight="1">
      <c r="A62" s="913" t="str">
        <f>A8</f>
        <v>Governmental Fund Type and Name:</v>
      </c>
      <c r="B62" s="960"/>
      <c r="C62" s="960"/>
      <c r="D62" s="960"/>
      <c r="E62" s="947" t="str">
        <f>E8</f>
        <v/>
      </c>
      <c r="F62" s="947"/>
      <c r="G62" s="947"/>
      <c r="H62" s="214"/>
      <c r="J62" s="214"/>
      <c r="L62" s="214"/>
    </row>
    <row r="63" spans="1:21" ht="12.75" customHeight="1">
      <c r="A63" s="913" t="str">
        <f>A6</f>
        <v>Date Completed:</v>
      </c>
      <c r="B63" s="960"/>
      <c r="C63" s="960"/>
      <c r="D63" s="960"/>
      <c r="E63" s="939" t="str">
        <f>E6</f>
        <v/>
      </c>
      <c r="F63" s="940"/>
      <c r="G63" s="940"/>
      <c r="H63" s="214"/>
      <c r="J63" s="214"/>
      <c r="L63" s="214"/>
    </row>
    <row r="64" spans="1:21" ht="12.75" customHeight="1">
      <c r="A64" s="189"/>
      <c r="B64" s="189"/>
      <c r="G64" s="214"/>
      <c r="H64" s="214"/>
      <c r="J64" s="214"/>
      <c r="L64" s="214"/>
    </row>
    <row r="65" spans="1:21" ht="12.75" customHeight="1">
      <c r="A65" s="189" t="str">
        <f>A10</f>
        <v>Statement of Net Position</v>
      </c>
      <c r="B65" s="189"/>
      <c r="G65" s="214"/>
      <c r="H65" s="214"/>
      <c r="J65" s="214"/>
      <c r="L65" s="214"/>
    </row>
    <row r="66" spans="1:21" ht="12.75" customHeight="1">
      <c r="A66" s="189" t="str">
        <f>A11</f>
        <v>For the Year Ended June 30, 2024</v>
      </c>
      <c r="B66" s="189"/>
      <c r="G66" s="214"/>
      <c r="H66" s="214"/>
      <c r="J66" s="214"/>
      <c r="L66" s="214"/>
    </row>
    <row r="67" spans="1:21" ht="80.25" customHeight="1" thickBot="1">
      <c r="E67" s="194" t="s">
        <v>282</v>
      </c>
      <c r="G67" s="195" t="str">
        <f>+G13</f>
        <v xml:space="preserve">Modified Accrual Basis 
(Tab - Fund Financial 
Stmt Template) </v>
      </c>
      <c r="H67" s="196"/>
      <c r="I67" s="195" t="str">
        <f>+I13</f>
        <v>Reclassify Revenue and Fund Balance / Net Position</v>
      </c>
      <c r="J67" s="196"/>
      <c r="K67" s="195" t="str">
        <f>+K13</f>
        <v>Full Accrual Adjusting Entries</v>
      </c>
      <c r="L67" s="196"/>
      <c r="M67" s="195" t="str">
        <f>M13</f>
        <v>Other 
Gov't-wide Adjusting Entries</v>
      </c>
      <c r="N67" s="196"/>
      <c r="O67" s="195" t="str">
        <f>+O13</f>
        <v>Full Accrual Government-wide Statement Totals</v>
      </c>
      <c r="Q67" s="195" t="s">
        <v>95</v>
      </c>
      <c r="S67" s="195" t="s">
        <v>94</v>
      </c>
      <c r="U67" s="195" t="str">
        <f>+U13</f>
        <v>Reference to Tabs that must be completed</v>
      </c>
    </row>
    <row r="68" spans="1:21" s="189" customFormat="1">
      <c r="A68" s="189" t="s">
        <v>645</v>
      </c>
      <c r="E68" s="214"/>
      <c r="G68" s="196"/>
      <c r="H68" s="196"/>
      <c r="I68" s="196"/>
      <c r="J68" s="196"/>
      <c r="K68" s="196"/>
      <c r="L68" s="196"/>
      <c r="M68" s="196"/>
      <c r="N68" s="196"/>
      <c r="O68" s="196"/>
      <c r="Q68" s="196"/>
      <c r="S68" s="196"/>
      <c r="U68" s="196"/>
    </row>
    <row r="69" spans="1:21" ht="12.75" customHeight="1">
      <c r="A69" s="189" t="s">
        <v>351</v>
      </c>
    </row>
    <row r="70" spans="1:21" ht="12.75" customHeight="1">
      <c r="B70" s="215" t="s">
        <v>216</v>
      </c>
      <c r="G70" s="200">
        <f>'Fund Financial Stmt Template'!O65</f>
        <v>0</v>
      </c>
      <c r="H70" s="199"/>
      <c r="I70" s="199"/>
      <c r="J70" s="199"/>
      <c r="K70" s="236"/>
      <c r="L70" s="199"/>
      <c r="M70" s="236"/>
      <c r="N70" s="199"/>
      <c r="O70" s="200">
        <f>SUM(G70,K70,M70)</f>
        <v>0</v>
      </c>
      <c r="Q70" s="201"/>
      <c r="S70" s="201">
        <f>O70+Q70</f>
        <v>0</v>
      </c>
      <c r="U70" s="202"/>
    </row>
    <row r="71" spans="1:21" ht="12.75" customHeight="1">
      <c r="B71" s="217" t="s">
        <v>281</v>
      </c>
      <c r="G71" s="200">
        <f>'Fund Financial Stmt Template'!O66</f>
        <v>0</v>
      </c>
      <c r="H71" s="199"/>
      <c r="I71" s="199"/>
      <c r="J71" s="199"/>
      <c r="K71" s="236"/>
      <c r="L71" s="199"/>
      <c r="M71" s="236"/>
      <c r="N71" s="199"/>
      <c r="O71" s="200">
        <f>SUM(G71,K71,M71)</f>
        <v>0</v>
      </c>
      <c r="Q71" s="201"/>
      <c r="S71" s="201">
        <f>O71+Q71</f>
        <v>0</v>
      </c>
      <c r="U71" s="202"/>
    </row>
    <row r="72" spans="1:21" ht="12.75" customHeight="1">
      <c r="B72" s="215" t="s">
        <v>217</v>
      </c>
      <c r="G72" s="200">
        <f>'Fund Financial Stmt Template'!O67</f>
        <v>0</v>
      </c>
      <c r="H72" s="199"/>
      <c r="I72" s="199"/>
      <c r="J72" s="199"/>
      <c r="K72" s="236"/>
      <c r="L72" s="199"/>
      <c r="M72" s="236"/>
      <c r="N72" s="199"/>
      <c r="O72" s="200">
        <f>SUM(G72,K72,M72)</f>
        <v>0</v>
      </c>
      <c r="Q72" s="201"/>
      <c r="S72" s="201">
        <f>O72+Q72</f>
        <v>0</v>
      </c>
      <c r="U72" s="202"/>
    </row>
    <row r="73" spans="1:21">
      <c r="B73" s="185" t="s">
        <v>3080</v>
      </c>
      <c r="E73" s="235" t="str">
        <f>'Fund Financial Stmt Template'!E68</f>
        <v>N/A</v>
      </c>
      <c r="G73" s="200">
        <f>'Fund Financial Stmt Template'!O68</f>
        <v>0</v>
      </c>
      <c r="H73" s="199"/>
      <c r="I73" s="199"/>
      <c r="J73" s="199"/>
      <c r="K73" s="199"/>
      <c r="L73" s="199"/>
      <c r="M73" s="199"/>
      <c r="N73" s="199"/>
      <c r="O73" s="200">
        <f>SUM(G73,K73,M73)</f>
        <v>0</v>
      </c>
      <c r="Q73" s="201"/>
      <c r="S73" s="201">
        <f>O73+Q73</f>
        <v>0</v>
      </c>
      <c r="U73" s="216"/>
    </row>
    <row r="74" spans="1:21" ht="12.75" customHeight="1">
      <c r="B74" s="219"/>
      <c r="C74" s="203" t="s">
        <v>230</v>
      </c>
      <c r="G74" s="200">
        <f>IF(SUM(G70:G73)=SUM('Fund Financial Stmt Template'!O69),SUM(G70:G73),"ERROR")</f>
        <v>0</v>
      </c>
      <c r="H74" s="199"/>
      <c r="I74" s="199"/>
      <c r="J74" s="199"/>
      <c r="K74" s="200">
        <f>SUM(K70:K73)</f>
        <v>0</v>
      </c>
      <c r="L74" s="199"/>
      <c r="M74" s="200">
        <f>SUM(M70:M73)</f>
        <v>0</v>
      </c>
      <c r="N74" s="199"/>
      <c r="O74" s="200">
        <f>IF(SUM(G74,K74,M74)=SUM(O70:O73),SUM(O70:O73),"ERROR")</f>
        <v>0</v>
      </c>
      <c r="Q74" s="201">
        <f>SUM(Q70:Q73)</f>
        <v>0</v>
      </c>
      <c r="S74" s="201">
        <f>IF(SUM(O74,Q74)=SUM(S70:S73),SUM(S70:S73),"ERROR")</f>
        <v>0</v>
      </c>
      <c r="U74" s="202"/>
    </row>
    <row r="75" spans="1:21" ht="12.75" customHeight="1">
      <c r="B75" s="219"/>
      <c r="C75" s="203"/>
      <c r="G75" s="220"/>
      <c r="H75" s="199"/>
      <c r="I75" s="199"/>
      <c r="J75" s="199"/>
      <c r="K75" s="220"/>
      <c r="L75" s="199"/>
      <c r="M75" s="220"/>
      <c r="N75" s="199"/>
      <c r="O75" s="220"/>
      <c r="Q75" s="199"/>
      <c r="S75" s="199"/>
      <c r="U75" s="202"/>
    </row>
    <row r="76" spans="1:21" ht="12.75" customHeight="1">
      <c r="B76" s="203" t="s">
        <v>352</v>
      </c>
      <c r="G76" s="200">
        <f>'Fund Financial Stmt Template'!O71</f>
        <v>0</v>
      </c>
      <c r="H76" s="199"/>
      <c r="I76" s="199"/>
      <c r="J76" s="199"/>
      <c r="K76" s="236"/>
      <c r="L76" s="199"/>
      <c r="M76" s="236"/>
      <c r="N76" s="199"/>
      <c r="O76" s="200">
        <f>SUM(G76,K76,M76)</f>
        <v>0</v>
      </c>
      <c r="Q76" s="201"/>
      <c r="S76" s="201">
        <f>O76+Q76</f>
        <v>0</v>
      </c>
    </row>
    <row r="77" spans="1:21">
      <c r="B77" s="203" t="s">
        <v>294</v>
      </c>
      <c r="E77" s="207"/>
      <c r="G77" s="200">
        <f>'Fund Financial Stmt Template'!O73</f>
        <v>0</v>
      </c>
      <c r="H77" s="199"/>
      <c r="I77" s="199"/>
      <c r="J77" s="199"/>
      <c r="K77" s="236"/>
      <c r="L77" s="199"/>
      <c r="M77" s="236"/>
      <c r="N77" s="199"/>
      <c r="O77" s="200">
        <f>SUM(G77,K77,M77)</f>
        <v>0</v>
      </c>
      <c r="Q77" s="221"/>
      <c r="S77" s="221">
        <f>O77+Q77</f>
        <v>0</v>
      </c>
    </row>
    <row r="78" spans="1:21">
      <c r="B78" s="203" t="s">
        <v>470</v>
      </c>
      <c r="E78" s="207"/>
      <c r="G78" s="200">
        <f>'Fund Financial Stmt Template'!O74</f>
        <v>0</v>
      </c>
      <c r="H78" s="199"/>
      <c r="I78" s="199"/>
      <c r="J78" s="199"/>
      <c r="K78" s="236"/>
      <c r="L78" s="199"/>
      <c r="M78" s="236"/>
      <c r="N78" s="199"/>
      <c r="O78" s="200">
        <f>SUM(G78,K78,M78)</f>
        <v>0</v>
      </c>
      <c r="Q78" s="221"/>
      <c r="S78" s="221"/>
    </row>
    <row r="79" spans="1:21" ht="12.75" hidden="1" customHeight="1">
      <c r="B79" s="203" t="s">
        <v>353</v>
      </c>
      <c r="G79" s="200">
        <f>'Fund Financial Stmt Template'!O75</f>
        <v>0</v>
      </c>
      <c r="H79" s="199"/>
      <c r="I79" s="199"/>
      <c r="J79" s="199"/>
      <c r="K79" s="752"/>
      <c r="L79" s="199"/>
      <c r="M79" s="236"/>
      <c r="N79" s="199"/>
      <c r="O79" s="200">
        <f>IF(SUM(G79,K79,M79)=0,SUM(G79,K79,M79),"Should be zero")</f>
        <v>0</v>
      </c>
      <c r="Q79" s="201"/>
      <c r="S79" s="201">
        <f>O79+Q79</f>
        <v>0</v>
      </c>
    </row>
    <row r="80" spans="1:21" ht="12.75" customHeight="1">
      <c r="B80" s="203" t="s">
        <v>232</v>
      </c>
      <c r="G80" s="200">
        <f>'Fund Financial Stmt Template'!O76</f>
        <v>0</v>
      </c>
      <c r="H80" s="199"/>
      <c r="I80" s="199"/>
      <c r="J80" s="199"/>
      <c r="K80" s="236"/>
      <c r="L80" s="199"/>
      <c r="M80" s="236"/>
      <c r="N80" s="199"/>
      <c r="O80" s="200">
        <f>SUM(G80,K80,M80)</f>
        <v>0</v>
      </c>
      <c r="Q80" s="201"/>
      <c r="S80" s="201">
        <f>O80+Q80</f>
        <v>0</v>
      </c>
    </row>
    <row r="81" spans="2:21" ht="12.75" customHeight="1">
      <c r="B81" s="203"/>
      <c r="G81" s="199"/>
      <c r="H81" s="199"/>
      <c r="I81" s="199"/>
      <c r="J81" s="199"/>
      <c r="K81" s="204"/>
      <c r="L81" s="199"/>
      <c r="M81" s="204"/>
      <c r="N81" s="199"/>
      <c r="O81" s="204"/>
      <c r="Q81" s="204"/>
      <c r="S81" s="204"/>
    </row>
    <row r="82" spans="2:21" ht="12.75" customHeight="1">
      <c r="B82" s="185" t="s">
        <v>356</v>
      </c>
      <c r="G82" s="200">
        <f>'Fund Financial Stmt Template'!O78</f>
        <v>0</v>
      </c>
      <c r="H82" s="199"/>
      <c r="I82" s="199"/>
      <c r="J82" s="199"/>
      <c r="K82" s="236"/>
      <c r="L82" s="199"/>
      <c r="M82" s="236"/>
      <c r="N82" s="199"/>
      <c r="O82" s="200">
        <f>SUM(G82,K82,M82)</f>
        <v>0</v>
      </c>
      <c r="Q82" s="201"/>
      <c r="S82" s="201">
        <f>O82+Q82</f>
        <v>0</v>
      </c>
    </row>
    <row r="83" spans="2:21">
      <c r="B83" s="185" t="s">
        <v>355</v>
      </c>
      <c r="E83" s="235" t="str">
        <f>'Fund Financial Stmt Template'!E79</f>
        <v>N/A</v>
      </c>
      <c r="G83" s="200">
        <f>'Fund Financial Stmt Template'!O79</f>
        <v>0</v>
      </c>
      <c r="H83" s="199"/>
      <c r="I83" s="199"/>
      <c r="J83" s="199"/>
      <c r="K83" s="236"/>
      <c r="L83" s="199"/>
      <c r="M83" s="236"/>
      <c r="N83" s="199"/>
      <c r="O83" s="200">
        <f>SUM(G83,K83,M83)</f>
        <v>0</v>
      </c>
      <c r="Q83" s="201"/>
      <c r="S83" s="201">
        <f>O83+Q83</f>
        <v>0</v>
      </c>
    </row>
    <row r="84" spans="2:21" ht="12.75" customHeight="1">
      <c r="C84" s="203" t="s">
        <v>355</v>
      </c>
      <c r="G84" s="200">
        <f>IF(SUM(G82:G83)=SUM('Fund Financial Stmt Template'!O80),SUM(G82:G83),"ERROR")</f>
        <v>0</v>
      </c>
      <c r="H84" s="199"/>
      <c r="I84" s="199"/>
      <c r="J84" s="199"/>
      <c r="K84" s="200">
        <f>SUM(K82:K83)</f>
        <v>0</v>
      </c>
      <c r="L84" s="199"/>
      <c r="M84" s="200">
        <f>SUM(M82:M83)</f>
        <v>0</v>
      </c>
      <c r="N84" s="199"/>
      <c r="O84" s="200">
        <f>IF(SUM(G84,K84,M84)=SUM(O82:O83),SUM(O82:O83),"ERROR")</f>
        <v>0</v>
      </c>
      <c r="Q84" s="201">
        <f>SUM(Q82:Q83)</f>
        <v>0</v>
      </c>
      <c r="S84" s="201">
        <f>IF(SUM(O84,Q84)=SUM(S82:S83),SUM(S82:S83),"ERROR")</f>
        <v>0</v>
      </c>
    </row>
    <row r="85" spans="2:21" ht="12.75" customHeight="1">
      <c r="C85" s="203"/>
      <c r="G85" s="199"/>
      <c r="H85" s="199"/>
      <c r="I85" s="199"/>
      <c r="J85" s="199"/>
      <c r="K85" s="204"/>
      <c r="L85" s="199"/>
      <c r="M85" s="204"/>
      <c r="N85" s="199"/>
      <c r="O85" s="204"/>
      <c r="Q85" s="204"/>
      <c r="S85" s="204"/>
    </row>
    <row r="86" spans="2:21" ht="12.75" customHeight="1">
      <c r="B86" s="185" t="s">
        <v>424</v>
      </c>
      <c r="C86" s="203"/>
      <c r="G86" s="200">
        <f>'Fund Financial Stmt Template'!O82</f>
        <v>0</v>
      </c>
      <c r="H86" s="199"/>
      <c r="I86" s="199"/>
      <c r="J86" s="199"/>
      <c r="K86" s="236"/>
      <c r="L86" s="199"/>
      <c r="M86" s="236"/>
      <c r="N86" s="199"/>
      <c r="O86" s="200">
        <f>SUM(G86,K86,M86)</f>
        <v>0</v>
      </c>
      <c r="Q86" s="201"/>
      <c r="S86" s="201">
        <f>O86+Q86</f>
        <v>0</v>
      </c>
      <c r="U86" s="202"/>
    </row>
    <row r="87" spans="2:21" ht="12.75" hidden="1" customHeight="1">
      <c r="B87" s="185" t="s">
        <v>200</v>
      </c>
      <c r="C87" s="203"/>
      <c r="G87" s="212"/>
      <c r="H87" s="199"/>
      <c r="I87" s="199"/>
      <c r="J87" s="199"/>
      <c r="K87" s="236"/>
      <c r="L87" s="199"/>
      <c r="M87" s="236"/>
      <c r="N87" s="199"/>
      <c r="O87" s="200">
        <f>SUM(M87,K87)</f>
        <v>0</v>
      </c>
      <c r="Q87" s="201"/>
      <c r="S87" s="201"/>
      <c r="U87" s="202"/>
    </row>
    <row r="88" spans="2:21" ht="12.75" hidden="1" customHeight="1">
      <c r="B88" s="185" t="s">
        <v>194</v>
      </c>
      <c r="C88" s="203"/>
      <c r="G88" s="212"/>
      <c r="H88" s="199"/>
      <c r="I88" s="199"/>
      <c r="J88" s="199"/>
      <c r="K88" s="236"/>
      <c r="L88" s="199"/>
      <c r="M88" s="236"/>
      <c r="N88" s="199"/>
      <c r="O88" s="200">
        <f>SUM(M88,K88)</f>
        <v>0</v>
      </c>
      <c r="Q88" s="201"/>
      <c r="S88" s="201"/>
      <c r="U88" s="202"/>
    </row>
    <row r="89" spans="2:21" ht="12.75" hidden="1" customHeight="1">
      <c r="B89" s="185" t="s">
        <v>195</v>
      </c>
      <c r="C89" s="203"/>
      <c r="G89" s="212"/>
      <c r="H89" s="199"/>
      <c r="I89" s="199"/>
      <c r="J89" s="199"/>
      <c r="K89" s="236"/>
      <c r="L89" s="199"/>
      <c r="M89" s="236"/>
      <c r="N89" s="199"/>
      <c r="O89" s="200">
        <f>SUM(M89,K89)</f>
        <v>0</v>
      </c>
      <c r="Q89" s="201"/>
      <c r="S89" s="201"/>
      <c r="U89" s="202"/>
    </row>
    <row r="90" spans="2:21" ht="12.75" hidden="1" customHeight="1">
      <c r="B90" s="185" t="s">
        <v>196</v>
      </c>
      <c r="C90" s="203"/>
      <c r="G90" s="212"/>
      <c r="H90" s="199"/>
      <c r="I90" s="199"/>
      <c r="J90" s="199"/>
      <c r="K90" s="236"/>
      <c r="L90" s="199"/>
      <c r="M90" s="236"/>
      <c r="N90" s="199"/>
      <c r="O90" s="200">
        <f>SUM(M90,K90)</f>
        <v>0</v>
      </c>
      <c r="Q90" s="201"/>
      <c r="S90" s="201"/>
      <c r="U90" s="202"/>
    </row>
    <row r="91" spans="2:21" ht="12.75" hidden="1" customHeight="1">
      <c r="B91" s="185" t="s">
        <v>208</v>
      </c>
      <c r="C91" s="203"/>
      <c r="G91" s="212"/>
      <c r="H91" s="199"/>
      <c r="I91" s="199"/>
      <c r="J91" s="199"/>
      <c r="K91" s="236"/>
      <c r="L91" s="199"/>
      <c r="M91" s="236"/>
      <c r="N91" s="199"/>
      <c r="O91" s="200">
        <f>SUM(O87:O90)</f>
        <v>0</v>
      </c>
      <c r="Q91" s="201"/>
      <c r="S91" s="201">
        <f>O91+Q91</f>
        <v>0</v>
      </c>
      <c r="U91" s="202"/>
    </row>
    <row r="92" spans="2:21">
      <c r="B92" s="185" t="s">
        <v>305</v>
      </c>
      <c r="C92" s="203"/>
      <c r="E92" s="235" t="str">
        <f>'Fund Financial Stmt Template'!E83</f>
        <v>N/A</v>
      </c>
      <c r="G92" s="200">
        <f>'Fund Financial Stmt Template'!O83</f>
        <v>0</v>
      </c>
      <c r="H92" s="199"/>
      <c r="I92" s="199"/>
      <c r="J92" s="199"/>
      <c r="K92" s="236"/>
      <c r="L92" s="199"/>
      <c r="M92" s="236"/>
      <c r="N92" s="199"/>
      <c r="O92" s="200">
        <f>SUM(G92,K92,M92)</f>
        <v>0</v>
      </c>
      <c r="Q92" s="201"/>
      <c r="S92" s="201">
        <f>O92+Q92</f>
        <v>0</v>
      </c>
      <c r="U92" s="202"/>
    </row>
    <row r="93" spans="2:21" ht="12.75" customHeight="1">
      <c r="C93" s="203" t="s">
        <v>425</v>
      </c>
      <c r="G93" s="200">
        <f>IF(SUM(G86,G92)=SUM('Fund Financial Stmt Template'!O84),SUM(G86,G92),"ERROR")</f>
        <v>0</v>
      </c>
      <c r="H93" s="199"/>
      <c r="I93" s="199"/>
      <c r="J93" s="199"/>
      <c r="K93" s="200">
        <f>K86+K91+K92</f>
        <v>0</v>
      </c>
      <c r="L93" s="199"/>
      <c r="M93" s="200">
        <f>M86+M91+M92</f>
        <v>0</v>
      </c>
      <c r="N93" s="199"/>
      <c r="O93" s="200">
        <f>IF(SUM(G93,K93,M93)=(O86+O91+O92),(O86+O91+O92),"ERROR")</f>
        <v>0</v>
      </c>
      <c r="Q93" s="221">
        <f>SUM(Q86:Q92)</f>
        <v>0</v>
      </c>
      <c r="S93" s="221">
        <f>IF(SUM(O93,Q93)=SUM(S86:S92),SUM(S86:S92),"ERROR")</f>
        <v>0</v>
      </c>
    </row>
    <row r="94" spans="2:21" ht="12.75" customHeight="1">
      <c r="C94" s="203"/>
      <c r="G94" s="199"/>
      <c r="H94" s="199"/>
      <c r="I94" s="199"/>
      <c r="J94" s="199"/>
      <c r="K94" s="199"/>
      <c r="L94" s="199"/>
      <c r="M94" s="199"/>
      <c r="N94" s="199"/>
      <c r="O94" s="199"/>
      <c r="Q94" s="199"/>
      <c r="S94" s="199"/>
    </row>
    <row r="95" spans="2:21" ht="12.75" hidden="1" customHeight="1">
      <c r="B95" s="230" t="s">
        <v>303</v>
      </c>
      <c r="C95" s="230"/>
      <c r="D95" s="230"/>
      <c r="G95" s="199"/>
      <c r="H95" s="199"/>
      <c r="I95" s="199"/>
      <c r="J95" s="199"/>
      <c r="K95" s="200"/>
      <c r="L95" s="199"/>
      <c r="M95" s="200"/>
      <c r="N95" s="199"/>
      <c r="O95" s="200">
        <f>SUM(K95,M95)</f>
        <v>0</v>
      </c>
      <c r="Q95" s="201"/>
      <c r="S95" s="201">
        <f>O95+Q95</f>
        <v>0</v>
      </c>
    </row>
    <row r="96" spans="2:21" hidden="1">
      <c r="B96" s="230" t="s">
        <v>304</v>
      </c>
      <c r="C96" s="230"/>
      <c r="D96" s="230"/>
      <c r="E96" s="487" t="str">
        <f>IF(OR(K96&lt;&gt;0,M96&lt;&gt;0),"Answer Required","")</f>
        <v/>
      </c>
      <c r="G96" s="199"/>
      <c r="H96" s="199"/>
      <c r="I96" s="199"/>
      <c r="J96" s="199"/>
      <c r="K96" s="200"/>
      <c r="L96" s="199"/>
      <c r="M96" s="200"/>
      <c r="N96" s="199"/>
      <c r="O96" s="200">
        <f>SUM(K96,M96)</f>
        <v>0</v>
      </c>
      <c r="Q96" s="201"/>
      <c r="S96" s="201">
        <f>O96+Q96</f>
        <v>0</v>
      </c>
    </row>
    <row r="97" spans="1:21" ht="12.75" hidden="1" customHeight="1">
      <c r="B97" s="230"/>
      <c r="C97" s="247" t="s">
        <v>298</v>
      </c>
      <c r="D97" s="230"/>
      <c r="G97" s="199"/>
      <c r="H97" s="199"/>
      <c r="I97" s="199"/>
      <c r="J97" s="199"/>
      <c r="K97" s="200">
        <f>SUM(K95:K96)</f>
        <v>0</v>
      </c>
      <c r="L97" s="199"/>
      <c r="M97" s="200">
        <f>SUM(M95:M96)</f>
        <v>0</v>
      </c>
      <c r="N97" s="199"/>
      <c r="O97" s="200">
        <f>IF(SUM(K97,M97)=SUM(O95:O96),SUM(O95:O96),"ERROR")</f>
        <v>0</v>
      </c>
      <c r="Q97" s="201">
        <f>SUM(Q95:Q96)</f>
        <v>0</v>
      </c>
      <c r="S97" s="201">
        <f>IF(SUM(O97,Q97)=SUM(S95:S96),SUM(S95:S96),"ERROR")</f>
        <v>0</v>
      </c>
    </row>
    <row r="98" spans="1:21" ht="12.75" hidden="1" customHeight="1">
      <c r="C98" s="203"/>
      <c r="G98" s="199"/>
      <c r="H98" s="199"/>
      <c r="I98" s="199"/>
      <c r="J98" s="199"/>
      <c r="K98" s="199"/>
      <c r="L98" s="199"/>
      <c r="M98" s="199"/>
      <c r="N98" s="199"/>
      <c r="O98" s="199"/>
      <c r="Q98" s="199"/>
      <c r="S98" s="199"/>
    </row>
    <row r="99" spans="1:21" ht="12.75" customHeight="1">
      <c r="B99" s="185" t="s">
        <v>462</v>
      </c>
      <c r="C99" s="203"/>
      <c r="G99" s="199"/>
      <c r="H99" s="199"/>
      <c r="I99" s="199"/>
      <c r="J99" s="199"/>
      <c r="K99" s="236"/>
      <c r="L99" s="199"/>
      <c r="M99" s="236"/>
      <c r="N99" s="199"/>
      <c r="O99" s="200">
        <f>SUM(M99,K99)</f>
        <v>0</v>
      </c>
      <c r="Q99" s="201"/>
      <c r="S99" s="201">
        <f>O99+Q99</f>
        <v>0</v>
      </c>
      <c r="U99" s="202"/>
    </row>
    <row r="100" spans="1:21" ht="12.75" hidden="1" customHeight="1">
      <c r="B100" s="185" t="s">
        <v>201</v>
      </c>
      <c r="C100" s="203"/>
      <c r="G100" s="199"/>
      <c r="H100" s="199"/>
      <c r="I100" s="199"/>
      <c r="J100" s="199"/>
      <c r="K100" s="236"/>
      <c r="L100" s="199"/>
      <c r="M100" s="236"/>
      <c r="N100" s="199"/>
      <c r="O100" s="200">
        <f>SUM(M100,K100)</f>
        <v>0</v>
      </c>
      <c r="Q100" s="201"/>
      <c r="S100" s="201"/>
      <c r="U100" s="202"/>
    </row>
    <row r="101" spans="1:21" ht="12.75" hidden="1" customHeight="1">
      <c r="B101" s="185" t="s">
        <v>197</v>
      </c>
      <c r="C101" s="203"/>
      <c r="G101" s="199"/>
      <c r="H101" s="199"/>
      <c r="I101" s="199"/>
      <c r="J101" s="199"/>
      <c r="K101" s="236"/>
      <c r="L101" s="199"/>
      <c r="M101" s="236"/>
      <c r="N101" s="199"/>
      <c r="O101" s="200">
        <f>SUM(M101,K101)</f>
        <v>0</v>
      </c>
      <c r="Q101" s="201"/>
      <c r="S101" s="201"/>
      <c r="U101" s="202"/>
    </row>
    <row r="102" spans="1:21" ht="12.75" hidden="1" customHeight="1">
      <c r="B102" s="185" t="s">
        <v>198</v>
      </c>
      <c r="C102" s="203"/>
      <c r="G102" s="199"/>
      <c r="H102" s="199"/>
      <c r="I102" s="199"/>
      <c r="J102" s="199"/>
      <c r="K102" s="236"/>
      <c r="L102" s="199"/>
      <c r="M102" s="236"/>
      <c r="N102" s="199"/>
      <c r="O102" s="200">
        <f>SUM(M102,K102)</f>
        <v>0</v>
      </c>
      <c r="Q102" s="201"/>
      <c r="S102" s="201"/>
      <c r="U102" s="202"/>
    </row>
    <row r="103" spans="1:21" ht="12.75" hidden="1" customHeight="1">
      <c r="B103" s="185" t="s">
        <v>199</v>
      </c>
      <c r="C103" s="203"/>
      <c r="G103" s="199"/>
      <c r="H103" s="199"/>
      <c r="I103" s="199"/>
      <c r="J103" s="199"/>
      <c r="K103" s="236"/>
      <c r="L103" s="199"/>
      <c r="M103" s="236"/>
      <c r="N103" s="199"/>
      <c r="O103" s="200">
        <f>SUM(M103,K103)</f>
        <v>0</v>
      </c>
      <c r="Q103" s="201"/>
      <c r="S103" s="201"/>
      <c r="U103" s="202"/>
    </row>
    <row r="104" spans="1:21" ht="12.75" hidden="1" customHeight="1">
      <c r="B104" s="185" t="s">
        <v>295</v>
      </c>
      <c r="C104" s="203"/>
      <c r="G104" s="199"/>
      <c r="H104" s="199"/>
      <c r="I104" s="199"/>
      <c r="J104" s="199"/>
      <c r="K104" s="236"/>
      <c r="L104" s="199"/>
      <c r="M104" s="236"/>
      <c r="N104" s="199"/>
      <c r="O104" s="200">
        <f>SUM(O100:O103)</f>
        <v>0</v>
      </c>
      <c r="Q104" s="201"/>
      <c r="S104" s="201">
        <f>O104+Q104</f>
        <v>0</v>
      </c>
      <c r="U104" s="202"/>
    </row>
    <row r="105" spans="1:21">
      <c r="B105" s="185" t="s">
        <v>463</v>
      </c>
      <c r="C105" s="203"/>
      <c r="E105" s="235" t="str">
        <f>IF(OR(K105&lt;&gt;0,M105&lt;&gt;0),"Answer Required","N/A")</f>
        <v>N/A</v>
      </c>
      <c r="G105" s="199"/>
      <c r="H105" s="199"/>
      <c r="I105" s="199"/>
      <c r="J105" s="199"/>
      <c r="K105" s="236"/>
      <c r="L105" s="199"/>
      <c r="M105" s="236"/>
      <c r="N105" s="199"/>
      <c r="O105" s="200">
        <f>SUM(M105,K105)</f>
        <v>0</v>
      </c>
      <c r="Q105" s="201"/>
      <c r="S105" s="201">
        <f>O105+Q105</f>
        <v>0</v>
      </c>
      <c r="U105" s="202"/>
    </row>
    <row r="106" spans="1:21" ht="12.75" customHeight="1">
      <c r="C106" s="203" t="s">
        <v>464</v>
      </c>
      <c r="G106" s="199"/>
      <c r="H106" s="199"/>
      <c r="I106" s="199"/>
      <c r="J106" s="199"/>
      <c r="K106" s="200">
        <f>K99+K104+K105</f>
        <v>0</v>
      </c>
      <c r="L106" s="199"/>
      <c r="M106" s="200">
        <f>M99+M104+M105</f>
        <v>0</v>
      </c>
      <c r="N106" s="199"/>
      <c r="O106" s="200">
        <f>IF(SUM(K106,M106)=(O99+O104+O105),(O99+O104+O105),"ERROR")</f>
        <v>0</v>
      </c>
      <c r="Q106" s="201">
        <f>SUM(Q99:Q105)</f>
        <v>0</v>
      </c>
      <c r="S106" s="201">
        <f>IF(SUM(O106,Q106)=SUM(S99:S105),SUM(S99:S105),"ERROR")</f>
        <v>0</v>
      </c>
    </row>
    <row r="107" spans="1:21" ht="12.75" customHeight="1" thickBot="1">
      <c r="G107" s="199"/>
      <c r="H107" s="199"/>
      <c r="I107" s="199"/>
      <c r="J107" s="199"/>
      <c r="K107" s="204"/>
      <c r="L107" s="199"/>
      <c r="M107" s="204"/>
      <c r="N107" s="199"/>
      <c r="O107" s="204"/>
      <c r="Q107" s="204"/>
      <c r="S107" s="204"/>
    </row>
    <row r="108" spans="1:21" ht="12.75" customHeight="1" thickBot="1">
      <c r="E108" s="203" t="s">
        <v>357</v>
      </c>
      <c r="G108" s="210">
        <f>SUM(G74,G76:G80,G84,G93)</f>
        <v>0</v>
      </c>
      <c r="H108" s="199"/>
      <c r="I108" s="199"/>
      <c r="J108" s="199"/>
      <c r="K108" s="210">
        <f>SUM(K74,K76:K80,K84,K93,K97,K106)</f>
        <v>0</v>
      </c>
      <c r="L108" s="199"/>
      <c r="M108" s="210">
        <f>SUM(M74,M76:M80,M84,M93,M97,M106)</f>
        <v>0</v>
      </c>
      <c r="N108" s="199"/>
      <c r="O108" s="210">
        <f>IF(SUM(G108,K108,M108)=SUM(O74,O76:O80,O84,O93,O97,O106),SUM(O74,O76:O80,O84,O93,O97,O106),"ERROR")</f>
        <v>0</v>
      </c>
      <c r="Q108" s="211">
        <f>SUM(Q74,Q76:Q80,Q84,Q93,Q97,Q106)</f>
        <v>0</v>
      </c>
      <c r="S108" s="211">
        <f>IF(SUM(O108,Q108)=SUM(S74,S76:S80,S84,S93,S97,S106),SUM(S74,S76:S80,S84,S93,S97,S106),"ERROR")</f>
        <v>0</v>
      </c>
    </row>
    <row r="109" spans="1:21" ht="12.75" customHeight="1">
      <c r="E109" s="203"/>
      <c r="G109" s="212"/>
      <c r="H109" s="199"/>
      <c r="I109" s="199"/>
      <c r="J109" s="199"/>
      <c r="K109" s="212"/>
      <c r="L109" s="199"/>
      <c r="M109" s="212"/>
      <c r="N109" s="199"/>
      <c r="O109" s="212"/>
      <c r="Q109" s="199"/>
      <c r="S109" s="199"/>
    </row>
    <row r="110" spans="1:21">
      <c r="A110" s="189" t="s">
        <v>632</v>
      </c>
      <c r="E110" s="235" t="str">
        <f>'Fund Financial Stmt Template'!E88</f>
        <v>N/A</v>
      </c>
      <c r="G110" s="200">
        <f>'Fund Financial Stmt Template'!O88</f>
        <v>0</v>
      </c>
      <c r="H110" s="199"/>
      <c r="I110" s="199"/>
      <c r="J110" s="199"/>
      <c r="K110" s="236"/>
      <c r="L110" s="199"/>
      <c r="M110" s="236"/>
      <c r="N110" s="199"/>
      <c r="O110" s="200">
        <f>G110+K110+M110</f>
        <v>0</v>
      </c>
      <c r="Q110" s="199"/>
      <c r="S110" s="199"/>
      <c r="U110" s="202" t="s">
        <v>55</v>
      </c>
    </row>
    <row r="111" spans="1:21" ht="12.75" customHeight="1" thickBot="1">
      <c r="E111" s="203"/>
      <c r="G111" s="212"/>
      <c r="H111" s="199"/>
      <c r="I111" s="199"/>
      <c r="J111" s="199"/>
      <c r="K111" s="212"/>
      <c r="L111" s="199"/>
      <c r="M111" s="212"/>
      <c r="N111" s="199"/>
      <c r="O111" s="212"/>
      <c r="Q111" s="199"/>
      <c r="S111" s="199"/>
    </row>
    <row r="112" spans="1:21" ht="24.75" thickBot="1">
      <c r="E112" s="243" t="s">
        <v>757</v>
      </c>
      <c r="G112" s="210">
        <f>SUM(G108,G110)</f>
        <v>0</v>
      </c>
      <c r="H112" s="199"/>
      <c r="I112" s="199"/>
      <c r="J112" s="199"/>
      <c r="K112" s="210">
        <f>K108+K110</f>
        <v>0</v>
      </c>
      <c r="L112" s="199"/>
      <c r="M112" s="210">
        <f>M108+M110</f>
        <v>0</v>
      </c>
      <c r="N112" s="199"/>
      <c r="O112" s="210">
        <f>SUM(O108,O110)</f>
        <v>0</v>
      </c>
      <c r="Q112" s="199"/>
      <c r="S112" s="199"/>
    </row>
    <row r="113" spans="1:21" ht="12.75" customHeight="1">
      <c r="G113" s="199"/>
      <c r="H113" s="199"/>
      <c r="I113" s="199"/>
      <c r="J113" s="199"/>
      <c r="K113" s="204"/>
      <c r="L113" s="199"/>
      <c r="M113" s="204"/>
      <c r="N113" s="199"/>
      <c r="O113" s="204"/>
      <c r="Q113" s="204"/>
      <c r="S113" s="204"/>
    </row>
    <row r="114" spans="1:21" ht="12.75" customHeight="1">
      <c r="A114" s="189" t="s">
        <v>639</v>
      </c>
      <c r="G114" s="199"/>
      <c r="H114" s="199"/>
      <c r="I114" s="199"/>
      <c r="J114" s="199"/>
      <c r="K114" s="204"/>
      <c r="L114" s="199"/>
      <c r="M114" s="204"/>
      <c r="N114" s="199"/>
      <c r="O114" s="204"/>
      <c r="Q114" s="204"/>
      <c r="S114" s="204"/>
    </row>
    <row r="115" spans="1:21" ht="12.75" customHeight="1">
      <c r="A115" s="203" t="s">
        <v>642</v>
      </c>
      <c r="B115" s="203"/>
      <c r="G115" s="199"/>
      <c r="H115" s="199"/>
      <c r="I115" s="199"/>
      <c r="J115" s="199"/>
      <c r="K115" s="236"/>
      <c r="L115" s="199"/>
      <c r="M115" s="236"/>
      <c r="N115" s="199"/>
      <c r="O115" s="200">
        <f>SUM(K115,M115)</f>
        <v>0</v>
      </c>
      <c r="Q115" s="201"/>
      <c r="S115" s="201">
        <f>O115+Q115</f>
        <v>0</v>
      </c>
      <c r="U115" s="216"/>
    </row>
    <row r="116" spans="1:21" ht="12.75" customHeight="1">
      <c r="A116" s="203" t="s">
        <v>466</v>
      </c>
      <c r="B116" s="203"/>
      <c r="G116" s="199"/>
      <c r="H116" s="199"/>
      <c r="I116" s="199"/>
      <c r="J116" s="199"/>
      <c r="K116" s="199"/>
      <c r="L116" s="199"/>
      <c r="M116" s="199"/>
      <c r="N116" s="199"/>
      <c r="O116" s="199"/>
      <c r="Q116" s="199"/>
      <c r="S116" s="199"/>
      <c r="U116" s="216"/>
    </row>
    <row r="117" spans="1:21" ht="12.75" customHeight="1">
      <c r="A117" s="203"/>
      <c r="B117" s="203" t="s">
        <v>467</v>
      </c>
      <c r="G117" s="199"/>
      <c r="H117" s="199"/>
      <c r="I117" s="199"/>
      <c r="J117" s="199"/>
      <c r="K117" s="199"/>
      <c r="L117" s="199"/>
      <c r="M117" s="199"/>
      <c r="N117" s="199"/>
      <c r="O117" s="199"/>
      <c r="Q117" s="199"/>
      <c r="S117" s="199"/>
    </row>
    <row r="118" spans="1:21" ht="12.75" customHeight="1">
      <c r="A118" s="203"/>
      <c r="C118" s="203" t="s">
        <v>468</v>
      </c>
      <c r="G118" s="199"/>
      <c r="H118" s="199"/>
      <c r="I118" s="236"/>
      <c r="J118" s="199"/>
      <c r="K118" s="236"/>
      <c r="L118" s="199"/>
      <c r="M118" s="236"/>
      <c r="N118" s="199"/>
      <c r="O118" s="200">
        <f>SUM(I118,K118,M118)</f>
        <v>0</v>
      </c>
      <c r="Q118" s="201"/>
      <c r="S118" s="201">
        <f>O118+Q118</f>
        <v>0</v>
      </c>
    </row>
    <row r="119" spans="1:21" ht="12.75" customHeight="1">
      <c r="A119" s="203"/>
      <c r="B119" s="203" t="s">
        <v>221</v>
      </c>
      <c r="G119" s="199"/>
      <c r="H119" s="199"/>
      <c r="I119" s="199"/>
      <c r="J119" s="199"/>
      <c r="K119" s="199"/>
      <c r="L119" s="199"/>
      <c r="M119" s="199"/>
      <c r="N119" s="199"/>
      <c r="O119" s="199"/>
      <c r="Q119" s="199"/>
      <c r="S119" s="199"/>
    </row>
    <row r="120" spans="1:21" ht="12.75" customHeight="1">
      <c r="C120" s="203" t="s">
        <v>468</v>
      </c>
      <c r="E120" s="208"/>
      <c r="G120" s="199"/>
      <c r="H120" s="199"/>
      <c r="I120" s="236"/>
      <c r="J120" s="199"/>
      <c r="K120" s="236"/>
      <c r="L120" s="199"/>
      <c r="M120" s="236"/>
      <c r="N120" s="199"/>
      <c r="O120" s="200">
        <f>SUM(I120,K120,M120)</f>
        <v>0</v>
      </c>
      <c r="Q120" s="201"/>
      <c r="S120" s="201">
        <f>O120+Q120</f>
        <v>0</v>
      </c>
    </row>
    <row r="121" spans="1:21" ht="12.75" customHeight="1">
      <c r="A121" s="203"/>
      <c r="C121" s="203" t="s">
        <v>302</v>
      </c>
      <c r="E121" s="208"/>
      <c r="G121" s="199"/>
      <c r="H121" s="199"/>
      <c r="I121" s="236"/>
      <c r="J121" s="199"/>
      <c r="K121" s="236"/>
      <c r="L121" s="199"/>
      <c r="M121" s="236"/>
      <c r="N121" s="199"/>
      <c r="O121" s="200">
        <f>SUM(I121,K121,M121)</f>
        <v>0</v>
      </c>
      <c r="Q121" s="201"/>
      <c r="S121" s="201">
        <f>O121+Q121</f>
        <v>0</v>
      </c>
    </row>
    <row r="122" spans="1:21" ht="12.75" customHeight="1">
      <c r="A122" s="203"/>
      <c r="C122" s="203" t="s">
        <v>220</v>
      </c>
      <c r="E122" s="208"/>
      <c r="G122" s="199"/>
      <c r="H122" s="199"/>
      <c r="I122" s="236"/>
      <c r="J122" s="199"/>
      <c r="K122" s="236"/>
      <c r="L122" s="199"/>
      <c r="M122" s="236"/>
      <c r="N122" s="199"/>
      <c r="O122" s="200">
        <f>SUM(I122,K122,M122)</f>
        <v>0</v>
      </c>
      <c r="Q122" s="201"/>
      <c r="S122" s="201">
        <f>O122+Q122</f>
        <v>0</v>
      </c>
    </row>
    <row r="123" spans="1:21" ht="12.75" hidden="1" customHeight="1">
      <c r="A123" s="203"/>
      <c r="C123" s="203" t="s">
        <v>472</v>
      </c>
      <c r="E123" s="208"/>
      <c r="G123" s="199"/>
      <c r="H123" s="199"/>
      <c r="I123" s="236"/>
      <c r="J123" s="199"/>
      <c r="K123" s="236"/>
      <c r="L123" s="199"/>
      <c r="M123" s="236"/>
      <c r="N123" s="199"/>
      <c r="O123" s="200">
        <f>SUM(I123,K123,M123)</f>
        <v>0</v>
      </c>
      <c r="Q123" s="201"/>
      <c r="S123" s="201">
        <f>O123+Q123</f>
        <v>0</v>
      </c>
    </row>
    <row r="124" spans="1:21">
      <c r="A124" s="203"/>
      <c r="C124" s="203" t="s">
        <v>471</v>
      </c>
      <c r="E124" s="235" t="str">
        <f>IF(OR(K124&lt;&gt;0,M124&lt;&gt;0,I124&lt;&gt;0),"Answer Required","N/A")</f>
        <v>N/A</v>
      </c>
      <c r="G124" s="199"/>
      <c r="H124" s="199"/>
      <c r="I124" s="236"/>
      <c r="J124" s="199"/>
      <c r="K124" s="236"/>
      <c r="L124" s="199"/>
      <c r="M124" s="236"/>
      <c r="N124" s="199"/>
      <c r="O124" s="200">
        <f>SUM(I124,K124,M124)</f>
        <v>0</v>
      </c>
      <c r="Q124" s="201"/>
      <c r="S124" s="201">
        <f>O124+Q124</f>
        <v>0</v>
      </c>
    </row>
    <row r="125" spans="1:21" ht="12.75" customHeight="1">
      <c r="A125" s="203"/>
      <c r="D125" s="189"/>
      <c r="G125" s="199"/>
      <c r="H125" s="199"/>
      <c r="I125" s="199"/>
      <c r="J125" s="199"/>
      <c r="K125" s="199"/>
      <c r="L125" s="199"/>
      <c r="M125" s="199"/>
      <c r="N125" s="199"/>
      <c r="O125" s="199"/>
      <c r="Q125" s="199"/>
      <c r="S125" s="199"/>
    </row>
    <row r="126" spans="1:21" ht="12.75" customHeight="1">
      <c r="A126" s="203" t="s">
        <v>473</v>
      </c>
      <c r="G126" s="199"/>
      <c r="H126" s="199"/>
      <c r="I126" s="236"/>
      <c r="J126" s="199"/>
      <c r="K126" s="236"/>
      <c r="L126" s="199"/>
      <c r="M126" s="236"/>
      <c r="N126" s="199"/>
      <c r="O126" s="200">
        <f>SUM(I126,K126,M126)</f>
        <v>0</v>
      </c>
      <c r="Q126" s="201"/>
      <c r="S126" s="201">
        <f>O126+Q126</f>
        <v>0</v>
      </c>
    </row>
    <row r="127" spans="1:21" ht="12.75" customHeight="1" thickBot="1">
      <c r="A127" s="203"/>
      <c r="G127" s="199"/>
      <c r="H127" s="199"/>
      <c r="I127" s="199"/>
      <c r="J127" s="199"/>
      <c r="K127" s="199"/>
      <c r="L127" s="199"/>
      <c r="M127" s="199"/>
      <c r="N127" s="199"/>
      <c r="O127" s="199"/>
      <c r="Q127" s="199"/>
      <c r="S127" s="199"/>
    </row>
    <row r="128" spans="1:21" ht="12.75" customHeight="1" thickBot="1">
      <c r="E128" s="203" t="s">
        <v>638</v>
      </c>
      <c r="G128" s="210">
        <f>IF(SUM(G54,-G112)=SUM('Fund Financial Stmt Template'!O106),SUM(G54,-G112),"ERROR")</f>
        <v>0</v>
      </c>
      <c r="H128" s="199"/>
      <c r="I128" s="210">
        <f>IF(SUM(I118,I120:I122,I124,I126)=G128,SUM(I118,I120:I122,I124,I126),"ERROR!")</f>
        <v>0</v>
      </c>
      <c r="J128" s="199"/>
      <c r="K128" s="210">
        <f>IF(SUM(K115,K118,K120:K122,K124,K126)+K112=K54,SUM(K115,K118,K120:K122,K124,K126),"ERROR")</f>
        <v>0</v>
      </c>
      <c r="L128" s="199"/>
      <c r="M128" s="210">
        <f>IF(SUM(M115,M118,M120:M122,M124,M126)+M112=M54,SUM(M115,M118,M120:M122,M124,M126),"ERROR")</f>
        <v>0</v>
      </c>
      <c r="N128" s="199"/>
      <c r="O128" s="210">
        <f>IF(SUM(O115,O118,O120:O122,O124,O126)+O112=O54,SUM(O115,O118,O120:O122,O124,O126),"ERROR")</f>
        <v>0</v>
      </c>
      <c r="Q128" s="211" t="e">
        <f>IF(SUM(Q115,Q118,Q120:Q124,Q126)+Q108=Q50,SUM(Q115,Q118,Q120:Q124,Q126),"ERROR")</f>
        <v>#REF!</v>
      </c>
      <c r="S128" s="211" t="e">
        <f>IF(SUM(S115,S118,S120:S124,S126)+S108=S50,SUM(S115,S118,S120:S124,S126),"ERROR")</f>
        <v>#REF!</v>
      </c>
      <c r="U128" s="216"/>
    </row>
    <row r="129" spans="1:21" ht="17.25" customHeight="1" thickBot="1">
      <c r="E129" s="203"/>
      <c r="G129" s="199"/>
      <c r="H129" s="199"/>
      <c r="I129" s="199"/>
      <c r="J129" s="199"/>
      <c r="K129" s="199"/>
      <c r="L129" s="199"/>
      <c r="M129" s="199"/>
      <c r="N129" s="199"/>
      <c r="O129" s="199"/>
      <c r="Q129" s="199"/>
      <c r="S129" s="199"/>
      <c r="U129" s="216"/>
    </row>
    <row r="130" spans="1:21" ht="12.75" thickBot="1">
      <c r="E130" s="224" t="s">
        <v>308</v>
      </c>
      <c r="G130" s="225">
        <f>(G128+G112)-G54</f>
        <v>0</v>
      </c>
      <c r="H130" s="213"/>
      <c r="I130" s="225">
        <f>(SUM(I118,I120:I124,I126))-G128</f>
        <v>0</v>
      </c>
      <c r="J130" s="213"/>
      <c r="K130" s="225">
        <f>(SUM(K115,K118,K120:K124,K126,K112))-K54</f>
        <v>0</v>
      </c>
      <c r="L130" s="213"/>
      <c r="M130" s="225">
        <f>(SUM(M115,M118,M120:M124,M126,M112))-M54</f>
        <v>0</v>
      </c>
      <c r="O130" s="225">
        <f>(SUM(O115,O118,O120:O124,O126,O112))-O54</f>
        <v>0</v>
      </c>
    </row>
    <row r="131" spans="1:21">
      <c r="E131" s="224"/>
      <c r="G131" s="248"/>
      <c r="H131" s="213"/>
      <c r="I131" s="248"/>
      <c r="J131" s="213"/>
      <c r="K131" s="248"/>
      <c r="L131" s="213"/>
      <c r="M131" s="248"/>
      <c r="O131" s="248"/>
    </row>
    <row r="132" spans="1:21">
      <c r="E132" s="203"/>
      <c r="G132" s="213"/>
      <c r="H132" s="213"/>
      <c r="J132" s="213"/>
      <c r="L132" s="213"/>
    </row>
    <row r="133" spans="1:21" ht="12.75" customHeight="1">
      <c r="A133" s="911" t="str">
        <f>A2</f>
        <v>Agency Name:</v>
      </c>
      <c r="B133" s="960"/>
      <c r="C133" s="960"/>
      <c r="D133" s="960"/>
      <c r="E133" s="896" t="str">
        <f>E2</f>
        <v/>
      </c>
      <c r="F133" s="954"/>
      <c r="G133" s="955"/>
    </row>
    <row r="134" spans="1:21" ht="12.75" customHeight="1">
      <c r="A134" s="911" t="str">
        <f>A8</f>
        <v>Governmental Fund Type and Name:</v>
      </c>
      <c r="B134" s="960"/>
      <c r="C134" s="960"/>
      <c r="D134" s="960"/>
      <c r="E134" s="896" t="str">
        <f>E8</f>
        <v/>
      </c>
      <c r="F134" s="954"/>
      <c r="G134" s="955"/>
    </row>
    <row r="135" spans="1:21" ht="12.75" customHeight="1">
      <c r="A135" s="911" t="str">
        <f>A6</f>
        <v>Date Completed:</v>
      </c>
      <c r="B135" s="960"/>
      <c r="C135" s="960"/>
      <c r="D135" s="960"/>
      <c r="E135" s="917" t="str">
        <f>E6</f>
        <v/>
      </c>
      <c r="F135" s="958"/>
      <c r="G135" s="959"/>
    </row>
    <row r="136" spans="1:21" ht="12.75" customHeight="1">
      <c r="A136" s="188"/>
    </row>
    <row r="137" spans="1:21" ht="12.75" customHeight="1">
      <c r="A137" s="188" t="s">
        <v>465</v>
      </c>
    </row>
    <row r="138" spans="1:21" ht="12.75" customHeight="1">
      <c r="A138" s="188" t="str">
        <f>+A11</f>
        <v>For the Year Ended June 30, 2024</v>
      </c>
    </row>
    <row r="139" spans="1:21" ht="86.25" customHeight="1" thickBot="1">
      <c r="A139" s="227"/>
      <c r="G139" s="195" t="str">
        <f>+G13</f>
        <v xml:space="preserve">Modified Accrual Basis 
(Tab - Fund Financial 
Stmt Template) </v>
      </c>
      <c r="H139" s="196"/>
      <c r="I139" s="195" t="str">
        <f>+I13</f>
        <v>Reclassify Revenue and Fund Balance / Net Position</v>
      </c>
      <c r="J139" s="196"/>
      <c r="K139" s="195" t="str">
        <f>+K13</f>
        <v>Full Accrual Adjusting Entries</v>
      </c>
      <c r="L139" s="196"/>
      <c r="M139" s="195" t="str">
        <f>M13</f>
        <v>Other 
Gov't-wide Adjusting Entries</v>
      </c>
      <c r="N139" s="196"/>
      <c r="O139" s="195" t="str">
        <f>+O13</f>
        <v>Full Accrual Government-wide Statement Totals</v>
      </c>
      <c r="Q139" s="195" t="s">
        <v>95</v>
      </c>
      <c r="S139" s="195" t="s">
        <v>94</v>
      </c>
    </row>
    <row r="140" spans="1:21" ht="12.75" customHeight="1">
      <c r="A140" s="188" t="s">
        <v>31</v>
      </c>
    </row>
    <row r="141" spans="1:21" ht="12.75" customHeight="1">
      <c r="A141" s="217" t="s">
        <v>476</v>
      </c>
      <c r="B141" s="217"/>
      <c r="G141" s="213"/>
      <c r="H141" s="213"/>
      <c r="I141" s="213"/>
      <c r="J141" s="213"/>
      <c r="K141" s="213"/>
      <c r="L141" s="213"/>
      <c r="M141" s="213"/>
      <c r="O141" s="213"/>
      <c r="Q141" s="213"/>
      <c r="S141" s="213"/>
    </row>
    <row r="142" spans="1:21" ht="12.75" customHeight="1">
      <c r="A142" s="217"/>
      <c r="B142" s="217" t="s">
        <v>477</v>
      </c>
      <c r="G142" s="199"/>
      <c r="H142" s="199"/>
      <c r="I142" s="236"/>
      <c r="J142" s="199"/>
      <c r="K142" s="236"/>
      <c r="L142" s="199"/>
      <c r="M142" s="236"/>
      <c r="N142" s="199"/>
      <c r="O142" s="200">
        <f>SUM(I142,K142,M142)</f>
        <v>0</v>
      </c>
      <c r="Q142" s="201"/>
      <c r="S142" s="201">
        <f>O142+Q142</f>
        <v>0</v>
      </c>
    </row>
    <row r="143" spans="1:21" ht="12.75" customHeight="1">
      <c r="A143" s="217"/>
      <c r="B143" s="217" t="s">
        <v>478</v>
      </c>
      <c r="G143" s="199"/>
      <c r="H143" s="199"/>
      <c r="I143" s="236"/>
      <c r="J143" s="199"/>
      <c r="K143" s="236"/>
      <c r="L143" s="199"/>
      <c r="M143" s="236"/>
      <c r="N143" s="199"/>
      <c r="O143" s="200">
        <f>SUM(I143,K143,M143)</f>
        <v>0</v>
      </c>
      <c r="Q143" s="201"/>
      <c r="S143" s="201">
        <f>O143+Q143</f>
        <v>0</v>
      </c>
    </row>
    <row r="144" spans="1:21" ht="12.75" customHeight="1">
      <c r="A144" s="217"/>
      <c r="B144" s="217" t="s">
        <v>479</v>
      </c>
      <c r="G144" s="199"/>
      <c r="H144" s="199"/>
      <c r="I144" s="236"/>
      <c r="J144" s="199"/>
      <c r="K144" s="236"/>
      <c r="L144" s="199"/>
      <c r="M144" s="236"/>
      <c r="N144" s="199"/>
      <c r="O144" s="200">
        <f>SUM(I144,K144,M144)</f>
        <v>0</v>
      </c>
      <c r="Q144" s="201"/>
      <c r="S144" s="201">
        <f>O144+Q144</f>
        <v>0</v>
      </c>
    </row>
    <row r="145" spans="1:19" ht="12.75" customHeight="1">
      <c r="A145" s="217" t="s">
        <v>480</v>
      </c>
      <c r="B145" s="217"/>
      <c r="G145" s="199"/>
      <c r="H145" s="199"/>
      <c r="I145" s="199"/>
      <c r="J145" s="199"/>
      <c r="K145" s="199"/>
      <c r="L145" s="199"/>
      <c r="M145" s="199"/>
      <c r="N145" s="199"/>
      <c r="O145" s="199"/>
      <c r="Q145" s="199"/>
      <c r="S145" s="199"/>
    </row>
    <row r="146" spans="1:19" ht="12.75" customHeight="1">
      <c r="A146" s="217"/>
      <c r="B146" s="217" t="s">
        <v>477</v>
      </c>
      <c r="G146" s="199"/>
      <c r="H146" s="199"/>
      <c r="I146" s="236"/>
      <c r="J146" s="199"/>
      <c r="K146" s="236"/>
      <c r="L146" s="199"/>
      <c r="M146" s="236"/>
      <c r="N146" s="199"/>
      <c r="O146" s="200">
        <f>SUM(I146,K146,M146)</f>
        <v>0</v>
      </c>
      <c r="Q146" s="201"/>
      <c r="S146" s="201">
        <f>O146+Q146</f>
        <v>0</v>
      </c>
    </row>
    <row r="147" spans="1:19" ht="12.75" customHeight="1">
      <c r="A147" s="217"/>
      <c r="B147" s="217" t="s">
        <v>478</v>
      </c>
      <c r="G147" s="199"/>
      <c r="H147" s="199"/>
      <c r="I147" s="236"/>
      <c r="J147" s="199"/>
      <c r="K147" s="236"/>
      <c r="L147" s="199"/>
      <c r="M147" s="236"/>
      <c r="N147" s="199"/>
      <c r="O147" s="200">
        <f>SUM(I147,K147,M147)</f>
        <v>0</v>
      </c>
      <c r="Q147" s="201"/>
      <c r="S147" s="201">
        <f>O147+Q147</f>
        <v>0</v>
      </c>
    </row>
    <row r="148" spans="1:19" ht="12.75" customHeight="1">
      <c r="A148" s="217"/>
      <c r="B148" s="217" t="s">
        <v>479</v>
      </c>
      <c r="G148" s="199"/>
      <c r="H148" s="199"/>
      <c r="I148" s="236"/>
      <c r="J148" s="199"/>
      <c r="K148" s="236"/>
      <c r="L148" s="199"/>
      <c r="M148" s="236"/>
      <c r="N148" s="199"/>
      <c r="O148" s="200">
        <f>SUM(I148,K148,M148)</f>
        <v>0</v>
      </c>
      <c r="Q148" s="201"/>
      <c r="S148" s="201">
        <f>O148+Q148</f>
        <v>0</v>
      </c>
    </row>
    <row r="149" spans="1:19" ht="12.75" customHeight="1">
      <c r="A149" s="217" t="s">
        <v>481</v>
      </c>
      <c r="B149" s="217"/>
      <c r="G149" s="199"/>
      <c r="H149" s="199"/>
      <c r="I149" s="199"/>
      <c r="J149" s="199"/>
      <c r="K149" s="199"/>
      <c r="L149" s="199"/>
      <c r="M149" s="199"/>
      <c r="N149" s="199"/>
      <c r="O149" s="199"/>
      <c r="Q149" s="199"/>
      <c r="S149" s="199"/>
    </row>
    <row r="150" spans="1:19" ht="12.75" customHeight="1">
      <c r="A150" s="217"/>
      <c r="B150" s="217" t="s">
        <v>477</v>
      </c>
      <c r="G150" s="199"/>
      <c r="H150" s="199"/>
      <c r="I150" s="236"/>
      <c r="J150" s="199"/>
      <c r="K150" s="236"/>
      <c r="L150" s="199"/>
      <c r="M150" s="236"/>
      <c r="N150" s="199"/>
      <c r="O150" s="200">
        <f>SUM(I150,K150,M150)</f>
        <v>0</v>
      </c>
      <c r="Q150" s="201"/>
      <c r="S150" s="201">
        <f>O150+Q150</f>
        <v>0</v>
      </c>
    </row>
    <row r="151" spans="1:19" ht="12.75" customHeight="1">
      <c r="A151" s="217"/>
      <c r="B151" s="217" t="s">
        <v>478</v>
      </c>
      <c r="G151" s="199"/>
      <c r="H151" s="199"/>
      <c r="I151" s="236"/>
      <c r="J151" s="199"/>
      <c r="K151" s="236"/>
      <c r="L151" s="199"/>
      <c r="M151" s="236"/>
      <c r="N151" s="199"/>
      <c r="O151" s="200">
        <f>SUM(I151,K151,M151)</f>
        <v>0</v>
      </c>
      <c r="Q151" s="201"/>
      <c r="S151" s="201">
        <f>O151+Q151</f>
        <v>0</v>
      </c>
    </row>
    <row r="152" spans="1:19" ht="12.75" customHeight="1">
      <c r="A152" s="217"/>
      <c r="B152" s="217" t="s">
        <v>479</v>
      </c>
      <c r="G152" s="199"/>
      <c r="H152" s="199"/>
      <c r="I152" s="236"/>
      <c r="J152" s="199"/>
      <c r="K152" s="236"/>
      <c r="L152" s="199"/>
      <c r="M152" s="236"/>
      <c r="N152" s="199"/>
      <c r="O152" s="200">
        <f>SUM(I152,K152,M152)</f>
        <v>0</v>
      </c>
      <c r="Q152" s="201"/>
      <c r="S152" s="201">
        <f>O152+Q152</f>
        <v>0</v>
      </c>
    </row>
    <row r="153" spans="1:19" ht="12.75" customHeight="1">
      <c r="A153" s="217" t="s">
        <v>482</v>
      </c>
      <c r="B153" s="217"/>
      <c r="G153" s="199"/>
      <c r="H153" s="199"/>
      <c r="I153" s="199"/>
      <c r="J153" s="199"/>
      <c r="K153" s="199"/>
      <c r="L153" s="199"/>
      <c r="M153" s="199"/>
      <c r="N153" s="199"/>
      <c r="O153" s="199"/>
      <c r="Q153" s="199"/>
      <c r="S153" s="199"/>
    </row>
    <row r="154" spans="1:19" ht="12.75" customHeight="1">
      <c r="A154" s="217"/>
      <c r="B154" s="217" t="s">
        <v>477</v>
      </c>
      <c r="G154" s="199"/>
      <c r="H154" s="199"/>
      <c r="I154" s="236"/>
      <c r="J154" s="199"/>
      <c r="K154" s="236"/>
      <c r="L154" s="199"/>
      <c r="M154" s="236"/>
      <c r="N154" s="199"/>
      <c r="O154" s="200">
        <f>SUM(I154,K154,M154)</f>
        <v>0</v>
      </c>
      <c r="Q154" s="201"/>
      <c r="S154" s="201">
        <f>O154+Q154</f>
        <v>0</v>
      </c>
    </row>
    <row r="155" spans="1:19" ht="12.75" customHeight="1">
      <c r="A155" s="217"/>
      <c r="B155" s="217" t="s">
        <v>478</v>
      </c>
      <c r="G155" s="199"/>
      <c r="H155" s="199"/>
      <c r="I155" s="236"/>
      <c r="J155" s="199"/>
      <c r="K155" s="236"/>
      <c r="L155" s="199"/>
      <c r="M155" s="236"/>
      <c r="N155" s="199"/>
      <c r="O155" s="200">
        <f>SUM(I155,K155,M155)</f>
        <v>0</v>
      </c>
      <c r="Q155" s="201"/>
      <c r="S155" s="201">
        <f>O155+Q155</f>
        <v>0</v>
      </c>
    </row>
    <row r="156" spans="1:19" ht="12.75" customHeight="1">
      <c r="A156" s="217"/>
      <c r="B156" s="217" t="s">
        <v>479</v>
      </c>
      <c r="G156" s="199"/>
      <c r="H156" s="199"/>
      <c r="I156" s="236"/>
      <c r="J156" s="199"/>
      <c r="K156" s="236"/>
      <c r="L156" s="199"/>
      <c r="M156" s="236"/>
      <c r="N156" s="199"/>
      <c r="O156" s="200">
        <f>SUM(I156,K156,M156)</f>
        <v>0</v>
      </c>
      <c r="Q156" s="201"/>
      <c r="S156" s="201">
        <f>O156+Q156</f>
        <v>0</v>
      </c>
    </row>
    <row r="157" spans="1:19" ht="12.75" customHeight="1">
      <c r="A157" s="217" t="s">
        <v>483</v>
      </c>
      <c r="B157" s="217"/>
      <c r="G157" s="199"/>
      <c r="H157" s="199"/>
      <c r="I157" s="212"/>
      <c r="J157" s="199"/>
      <c r="K157" s="199"/>
      <c r="L157" s="199"/>
      <c r="M157" s="199"/>
      <c r="N157" s="199"/>
      <c r="O157" s="199"/>
      <c r="Q157" s="199"/>
      <c r="S157" s="199"/>
    </row>
    <row r="158" spans="1:19" ht="12.75" customHeight="1">
      <c r="A158" s="217"/>
      <c r="B158" s="217" t="s">
        <v>477</v>
      </c>
      <c r="G158" s="199"/>
      <c r="H158" s="199"/>
      <c r="I158" s="236"/>
      <c r="J158" s="199"/>
      <c r="K158" s="236"/>
      <c r="L158" s="199"/>
      <c r="M158" s="236"/>
      <c r="N158" s="199"/>
      <c r="O158" s="200">
        <f>SUM(I158,K158,M158)</f>
        <v>0</v>
      </c>
      <c r="Q158" s="201"/>
      <c r="S158" s="201">
        <f>O158+Q158</f>
        <v>0</v>
      </c>
    </row>
    <row r="159" spans="1:19" ht="12.75" customHeight="1">
      <c r="A159" s="217"/>
      <c r="B159" s="217" t="s">
        <v>478</v>
      </c>
      <c r="G159" s="199"/>
      <c r="H159" s="199"/>
      <c r="I159" s="236"/>
      <c r="J159" s="199"/>
      <c r="K159" s="236"/>
      <c r="L159" s="199"/>
      <c r="M159" s="236"/>
      <c r="N159" s="199"/>
      <c r="O159" s="200">
        <f>SUM(I159,K159,M159)</f>
        <v>0</v>
      </c>
      <c r="Q159" s="201"/>
      <c r="S159" s="201">
        <f>O159+Q159</f>
        <v>0</v>
      </c>
    </row>
    <row r="160" spans="1:19" ht="12.75" customHeight="1">
      <c r="A160" s="217"/>
      <c r="B160" s="217" t="s">
        <v>479</v>
      </c>
      <c r="G160" s="199"/>
      <c r="H160" s="199"/>
      <c r="I160" s="236"/>
      <c r="J160" s="199"/>
      <c r="K160" s="236"/>
      <c r="L160" s="199"/>
      <c r="M160" s="236"/>
      <c r="N160" s="199"/>
      <c r="O160" s="200">
        <f>SUM(I160,K160,M160)</f>
        <v>0</v>
      </c>
      <c r="Q160" s="201"/>
      <c r="S160" s="201">
        <f>O160+Q160</f>
        <v>0</v>
      </c>
    </row>
    <row r="161" spans="1:19" ht="12.75" customHeight="1">
      <c r="A161" s="217" t="s">
        <v>484</v>
      </c>
      <c r="B161" s="217"/>
      <c r="G161" s="199"/>
      <c r="H161" s="199"/>
      <c r="I161" s="199"/>
      <c r="J161" s="199"/>
      <c r="K161" s="199"/>
      <c r="L161" s="199"/>
      <c r="M161" s="199"/>
      <c r="N161" s="199"/>
      <c r="O161" s="199"/>
      <c r="Q161" s="199"/>
      <c r="S161" s="199"/>
    </row>
    <row r="162" spans="1:19" ht="12.75" customHeight="1">
      <c r="A162" s="217"/>
      <c r="B162" s="217" t="s">
        <v>477</v>
      </c>
      <c r="G162" s="199"/>
      <c r="H162" s="199"/>
      <c r="I162" s="236"/>
      <c r="J162" s="199"/>
      <c r="K162" s="236"/>
      <c r="L162" s="199"/>
      <c r="M162" s="236"/>
      <c r="N162" s="199"/>
      <c r="O162" s="200">
        <f>SUM(I162,K162,M162)</f>
        <v>0</v>
      </c>
      <c r="Q162" s="201"/>
      <c r="S162" s="201">
        <f>O162+Q162</f>
        <v>0</v>
      </c>
    </row>
    <row r="163" spans="1:19" ht="12.75" customHeight="1">
      <c r="A163" s="217"/>
      <c r="B163" s="217" t="s">
        <v>478</v>
      </c>
      <c r="G163" s="199"/>
      <c r="H163" s="199"/>
      <c r="I163" s="236"/>
      <c r="J163" s="199"/>
      <c r="K163" s="236"/>
      <c r="L163" s="199"/>
      <c r="M163" s="236"/>
      <c r="N163" s="199"/>
      <c r="O163" s="200">
        <f>SUM(I163,K163,M163)</f>
        <v>0</v>
      </c>
      <c r="Q163" s="201"/>
      <c r="S163" s="201">
        <f>O163+Q163</f>
        <v>0</v>
      </c>
    </row>
    <row r="164" spans="1:19" ht="12.75" customHeight="1">
      <c r="A164" s="217"/>
      <c r="B164" s="217" t="s">
        <v>479</v>
      </c>
      <c r="G164" s="199"/>
      <c r="H164" s="199"/>
      <c r="I164" s="236"/>
      <c r="J164" s="199"/>
      <c r="K164" s="236"/>
      <c r="L164" s="199"/>
      <c r="M164" s="236"/>
      <c r="N164" s="199"/>
      <c r="O164" s="200">
        <f>SUM(I164,K164,M164)</f>
        <v>0</v>
      </c>
      <c r="Q164" s="201"/>
      <c r="S164" s="201">
        <f>O164+Q164</f>
        <v>0</v>
      </c>
    </row>
    <row r="165" spans="1:19" ht="12.75" customHeight="1">
      <c r="B165" s="186"/>
      <c r="G165" s="199"/>
      <c r="H165" s="199"/>
      <c r="I165" s="204"/>
      <c r="J165" s="199"/>
      <c r="K165" s="249"/>
      <c r="L165" s="199"/>
      <c r="M165" s="204"/>
      <c r="N165" s="199"/>
      <c r="O165" s="204"/>
      <c r="Q165" s="204"/>
      <c r="S165" s="204"/>
    </row>
    <row r="166" spans="1:19" ht="12.75" customHeight="1">
      <c r="A166" s="188" t="s">
        <v>32</v>
      </c>
      <c r="B166" s="186"/>
      <c r="G166" s="199"/>
      <c r="H166" s="199"/>
      <c r="I166" s="199"/>
      <c r="J166" s="199"/>
      <c r="K166" s="199"/>
      <c r="L166" s="199"/>
      <c r="M166" s="199"/>
      <c r="N166" s="199"/>
      <c r="O166" s="199"/>
      <c r="Q166" s="199"/>
      <c r="S166" s="199"/>
    </row>
    <row r="167" spans="1:19" ht="12.75" customHeight="1">
      <c r="A167" s="185" t="s">
        <v>485</v>
      </c>
      <c r="B167" s="186"/>
      <c r="G167" s="199"/>
      <c r="H167" s="199"/>
      <c r="I167" s="236"/>
      <c r="J167" s="199"/>
      <c r="K167" s="236"/>
      <c r="L167" s="199"/>
      <c r="M167" s="236"/>
      <c r="N167" s="199"/>
      <c r="O167" s="200">
        <f>SUM(I167,K167,M167)</f>
        <v>0</v>
      </c>
      <c r="Q167" s="201"/>
      <c r="S167" s="201">
        <f>O167+Q167</f>
        <v>0</v>
      </c>
    </row>
    <row r="168" spans="1:19" ht="12.75" customHeight="1">
      <c r="A168" s="185" t="s">
        <v>486</v>
      </c>
      <c r="B168" s="186"/>
      <c r="G168" s="199"/>
      <c r="H168" s="199"/>
      <c r="I168" s="236"/>
      <c r="J168" s="199"/>
      <c r="K168" s="236"/>
      <c r="L168" s="199"/>
      <c r="M168" s="236"/>
      <c r="N168" s="199"/>
      <c r="O168" s="200">
        <f>SUM(I168,K168,M168)</f>
        <v>0</v>
      </c>
      <c r="Q168" s="201"/>
      <c r="S168" s="201">
        <f>O168+Q168</f>
        <v>0</v>
      </c>
    </row>
    <row r="169" spans="1:19" ht="12.75" customHeight="1">
      <c r="A169" s="185" t="s">
        <v>487</v>
      </c>
      <c r="B169" s="186"/>
      <c r="G169" s="199"/>
      <c r="H169" s="199"/>
      <c r="I169" s="236"/>
      <c r="J169" s="199"/>
      <c r="K169" s="236"/>
      <c r="L169" s="199"/>
      <c r="M169" s="236"/>
      <c r="N169" s="199"/>
      <c r="O169" s="200">
        <f>SUM(I169,K169,M169)</f>
        <v>0</v>
      </c>
      <c r="Q169" s="201"/>
      <c r="S169" s="201">
        <f>O169+Q169</f>
        <v>0</v>
      </c>
    </row>
    <row r="170" spans="1:19" ht="12.75" customHeight="1">
      <c r="A170" s="185" t="s">
        <v>488</v>
      </c>
      <c r="B170" s="186"/>
      <c r="G170" s="199"/>
      <c r="H170" s="199"/>
      <c r="I170" s="236"/>
      <c r="J170" s="199"/>
      <c r="K170" s="236"/>
      <c r="L170" s="199"/>
      <c r="M170" s="236"/>
      <c r="N170" s="199"/>
      <c r="O170" s="200">
        <f>SUM(I170,K170,M170)</f>
        <v>0</v>
      </c>
      <c r="Q170" s="201"/>
      <c r="S170" s="201">
        <f>O170+Q170</f>
        <v>0</v>
      </c>
    </row>
    <row r="171" spans="1:19" ht="12.75" customHeight="1" thickBot="1">
      <c r="B171" s="186"/>
      <c r="G171" s="199"/>
      <c r="H171" s="199"/>
      <c r="I171" s="204"/>
      <c r="J171" s="199"/>
      <c r="K171" s="204"/>
      <c r="L171" s="199"/>
      <c r="M171" s="204"/>
      <c r="N171" s="199"/>
      <c r="O171" s="249"/>
      <c r="Q171" s="204"/>
      <c r="S171" s="204"/>
    </row>
    <row r="172" spans="1:19" ht="12.75" customHeight="1" thickBot="1">
      <c r="C172" s="209"/>
      <c r="E172" s="203" t="s">
        <v>445</v>
      </c>
      <c r="G172" s="210">
        <f>'Fund Financial Stmt Template'!O130</f>
        <v>0</v>
      </c>
      <c r="H172" s="199"/>
      <c r="I172" s="210">
        <f>IF(SUM(I142:I144,I146:I148,I150:I152,I154:I156,I158:I160,I162:I164,I167:I170)=G172,SUM(I142:I144,I146:I148,I150:I152,I154:I156,I158:I160,I162:I164,I167:I170),"ERROR")</f>
        <v>0</v>
      </c>
      <c r="J172" s="199"/>
      <c r="K172" s="210">
        <f>SUM(K142:K144,K146:K148,K150:K152,K154:K156,K158:K160,K162:K164,K167:K170)</f>
        <v>0</v>
      </c>
      <c r="L172" s="199"/>
      <c r="M172" s="210">
        <f>SUM(M142:M144,M146:M148,M150:M152,M154:M156,M158:M160,M162:M164,M167:M170)</f>
        <v>0</v>
      </c>
      <c r="N172" s="199"/>
      <c r="O172" s="210">
        <f>IF(SUM(I172,K172,M172)=SUM(O142:O144,O146:O148,O150:O152,O154:O156,O158:O160,O162:O164,O167:O170),SUM(O142:O144,O146:O148,O150:O152,O154:O156,O158:O160,O162:O164,O167:O170),"ERROR")</f>
        <v>0</v>
      </c>
      <c r="Q172" s="211">
        <f>SUM(Q142:Q144,Q146:Q148,Q150:Q152,Q154:Q156,Q158:Q160,Q162:Q164,Q167:Q170)</f>
        <v>0</v>
      </c>
      <c r="S172" s="211">
        <f>IF(SUM(O172,Q172)=SUM(S142:S144,S146:S148,S150:S152,S154:S156,S158:S160,S162:S164,S167:S170),SUM(S142:S144,S146:S148,S150:S152,S154:S156,S158:S160,S162:S164,S167:S170),"ERROR")</f>
        <v>0</v>
      </c>
    </row>
    <row r="173" spans="1:19" ht="12.75" customHeight="1" thickBot="1">
      <c r="C173" s="209"/>
      <c r="E173" s="203"/>
      <c r="G173" s="199"/>
      <c r="H173" s="199"/>
      <c r="I173" s="199"/>
      <c r="J173" s="199"/>
      <c r="K173" s="199"/>
      <c r="L173" s="199"/>
      <c r="M173" s="199"/>
      <c r="N173" s="199"/>
      <c r="O173" s="199"/>
      <c r="Q173" s="199"/>
      <c r="S173" s="199"/>
    </row>
    <row r="174" spans="1:19" ht="12.75" customHeight="1" thickBot="1">
      <c r="C174" s="209"/>
      <c r="G174" s="224" t="s">
        <v>309</v>
      </c>
      <c r="H174" s="199"/>
      <c r="I174" s="225">
        <f>SUM(I142:I144,I146:I148,I150:I152,I154:I156,I158:I160,I162:I164,I167:I170)-G172</f>
        <v>0</v>
      </c>
      <c r="J174" s="199"/>
      <c r="K174" s="199"/>
      <c r="L174" s="199"/>
      <c r="M174" s="224" t="s">
        <v>309</v>
      </c>
      <c r="N174" s="199"/>
      <c r="O174" s="225">
        <f>SUM(O142:O144,O146:O148,O150:O152,O154:O156,O158:O160,O162:O164,O167:O170)-SUM(I172,K172,M172)</f>
        <v>0</v>
      </c>
      <c r="Q174" s="199"/>
      <c r="S174" s="199"/>
    </row>
    <row r="175" spans="1:19" ht="29.25" customHeight="1">
      <c r="G175" s="213"/>
      <c r="H175" s="213"/>
      <c r="J175" s="213"/>
      <c r="L175" s="213"/>
    </row>
    <row r="176" spans="1:19" ht="12.75" customHeight="1">
      <c r="A176" s="911" t="str">
        <f>A2</f>
        <v>Agency Name:</v>
      </c>
      <c r="B176" s="960"/>
      <c r="C176" s="960"/>
      <c r="D176" s="960"/>
      <c r="E176" s="896" t="str">
        <f>E2</f>
        <v/>
      </c>
      <c r="F176" s="954"/>
      <c r="G176" s="955"/>
      <c r="H176" s="213"/>
      <c r="J176" s="213"/>
      <c r="L176" s="213"/>
    </row>
    <row r="177" spans="1:19" ht="12.75" customHeight="1">
      <c r="A177" s="911" t="str">
        <f>A8</f>
        <v>Governmental Fund Type and Name:</v>
      </c>
      <c r="B177" s="960"/>
      <c r="C177" s="960"/>
      <c r="D177" s="960"/>
      <c r="E177" s="896" t="str">
        <f>E8</f>
        <v/>
      </c>
      <c r="F177" s="954"/>
      <c r="G177" s="955"/>
      <c r="H177" s="213"/>
      <c r="J177" s="213"/>
      <c r="L177" s="213"/>
    </row>
    <row r="178" spans="1:19" ht="12.75" customHeight="1">
      <c r="A178" s="911" t="str">
        <f>A6</f>
        <v>Date Completed:</v>
      </c>
      <c r="B178" s="960"/>
      <c r="C178" s="960"/>
      <c r="D178" s="960"/>
      <c r="E178" s="917" t="str">
        <f>E6</f>
        <v/>
      </c>
      <c r="F178" s="956"/>
      <c r="G178" s="957"/>
      <c r="H178" s="213"/>
      <c r="J178" s="213"/>
      <c r="L178" s="213"/>
    </row>
    <row r="179" spans="1:19" ht="12.75" customHeight="1">
      <c r="A179" s="188"/>
      <c r="G179" s="213"/>
      <c r="H179" s="213"/>
      <c r="J179" s="213"/>
      <c r="L179" s="213"/>
    </row>
    <row r="180" spans="1:19" ht="12.75" customHeight="1">
      <c r="A180" s="188" t="str">
        <f>A137</f>
        <v>Statement of Activities</v>
      </c>
      <c r="G180" s="213"/>
      <c r="H180" s="213"/>
      <c r="J180" s="213"/>
      <c r="L180" s="213"/>
    </row>
    <row r="181" spans="1:19" ht="12.75" customHeight="1">
      <c r="A181" s="192" t="str">
        <f>A11</f>
        <v>For the Year Ended June 30, 2024</v>
      </c>
      <c r="G181" s="213"/>
      <c r="H181" s="213"/>
      <c r="J181" s="213"/>
      <c r="L181" s="213"/>
    </row>
    <row r="182" spans="1:19" ht="86.25" customHeight="1" thickBot="1">
      <c r="E182" s="194" t="s">
        <v>282</v>
      </c>
      <c r="G182" s="195" t="str">
        <f>+G13</f>
        <v xml:space="preserve">Modified Accrual Basis 
(Tab - Fund Financial 
Stmt Template) </v>
      </c>
      <c r="H182" s="196"/>
      <c r="I182" s="195" t="str">
        <f>+I13</f>
        <v>Reclassify Revenue and Fund Balance / Net Position</v>
      </c>
      <c r="J182" s="196"/>
      <c r="K182" s="195" t="str">
        <f>+K13</f>
        <v>Full Accrual Adjusting Entries</v>
      </c>
      <c r="L182" s="196"/>
      <c r="M182" s="195" t="str">
        <f>M13</f>
        <v>Other 
Gov't-wide Adjusting Entries</v>
      </c>
      <c r="N182" s="196"/>
      <c r="O182" s="195" t="str">
        <f>+O13</f>
        <v>Full Accrual Government-wide Statement Totals</v>
      </c>
      <c r="Q182" s="195" t="s">
        <v>95</v>
      </c>
      <c r="S182" s="195" t="s">
        <v>94</v>
      </c>
    </row>
    <row r="183" spans="1:19" ht="12.75" customHeight="1">
      <c r="A183" s="188" t="s">
        <v>649</v>
      </c>
      <c r="G183" s="213"/>
      <c r="H183" s="213"/>
      <c r="J183" s="213"/>
      <c r="L183" s="213"/>
    </row>
    <row r="184" spans="1:19" ht="12.75" customHeight="1">
      <c r="B184" s="209" t="s">
        <v>433</v>
      </c>
      <c r="G184" s="200">
        <f>'Fund Financial Stmt Template'!O133</f>
        <v>0</v>
      </c>
      <c r="H184" s="199"/>
      <c r="I184" s="199"/>
      <c r="J184" s="199"/>
      <c r="K184" s="236"/>
      <c r="L184" s="199"/>
      <c r="M184" s="236"/>
      <c r="N184" s="199"/>
      <c r="O184" s="200">
        <f t="shared" ref="O184:O189" si="1">SUM(G184,K184,M184)</f>
        <v>0</v>
      </c>
      <c r="Q184" s="201"/>
      <c r="S184" s="201">
        <f t="shared" ref="S184:S189" si="2">O184+Q184</f>
        <v>0</v>
      </c>
    </row>
    <row r="185" spans="1:19" ht="12.75" customHeight="1">
      <c r="B185" s="209" t="s">
        <v>434</v>
      </c>
      <c r="G185" s="200">
        <f>'Fund Financial Stmt Template'!O134</f>
        <v>0</v>
      </c>
      <c r="H185" s="199"/>
      <c r="I185" s="199"/>
      <c r="J185" s="199"/>
      <c r="K185" s="236"/>
      <c r="L185" s="199"/>
      <c r="M185" s="236"/>
      <c r="N185" s="199"/>
      <c r="O185" s="200">
        <f t="shared" si="1"/>
        <v>0</v>
      </c>
      <c r="Q185" s="201"/>
      <c r="S185" s="201">
        <f t="shared" si="2"/>
        <v>0</v>
      </c>
    </row>
    <row r="186" spans="1:19" ht="12.75" customHeight="1">
      <c r="B186" s="209" t="s">
        <v>435</v>
      </c>
      <c r="G186" s="200">
        <f>'Fund Financial Stmt Template'!O135</f>
        <v>0</v>
      </c>
      <c r="H186" s="199"/>
      <c r="I186" s="199"/>
      <c r="J186" s="199"/>
      <c r="K186" s="236"/>
      <c r="L186" s="199"/>
      <c r="M186" s="236"/>
      <c r="N186" s="199"/>
      <c r="O186" s="200">
        <f t="shared" si="1"/>
        <v>0</v>
      </c>
      <c r="Q186" s="201"/>
      <c r="S186" s="201">
        <f t="shared" si="2"/>
        <v>0</v>
      </c>
    </row>
    <row r="187" spans="1:19" ht="12.75" customHeight="1">
      <c r="B187" s="209" t="s">
        <v>436</v>
      </c>
      <c r="G187" s="200">
        <f>'Fund Financial Stmt Template'!O136</f>
        <v>0</v>
      </c>
      <c r="H187" s="199"/>
      <c r="I187" s="199"/>
      <c r="J187" s="199"/>
      <c r="K187" s="236"/>
      <c r="L187" s="199"/>
      <c r="M187" s="236"/>
      <c r="N187" s="199"/>
      <c r="O187" s="200">
        <f t="shared" si="1"/>
        <v>0</v>
      </c>
      <c r="Q187" s="201"/>
      <c r="S187" s="201">
        <f t="shared" si="2"/>
        <v>0</v>
      </c>
    </row>
    <row r="188" spans="1:19" ht="12.75" customHeight="1">
      <c r="B188" s="209" t="s">
        <v>437</v>
      </c>
      <c r="G188" s="200">
        <f>'Fund Financial Stmt Template'!O137</f>
        <v>0</v>
      </c>
      <c r="H188" s="199"/>
      <c r="I188" s="199"/>
      <c r="J188" s="199"/>
      <c r="K188" s="236"/>
      <c r="L188" s="199"/>
      <c r="M188" s="236"/>
      <c r="N188" s="199"/>
      <c r="O188" s="200">
        <f t="shared" si="1"/>
        <v>0</v>
      </c>
      <c r="Q188" s="218"/>
      <c r="S188" s="218">
        <f t="shared" si="2"/>
        <v>0</v>
      </c>
    </row>
    <row r="189" spans="1:19" ht="12.75" customHeight="1">
      <c r="B189" s="209" t="s">
        <v>438</v>
      </c>
      <c r="G189" s="200">
        <f>'Fund Financial Stmt Template'!O138</f>
        <v>0</v>
      </c>
      <c r="H189" s="199"/>
      <c r="I189" s="199"/>
      <c r="J189" s="199"/>
      <c r="K189" s="236"/>
      <c r="L189" s="199"/>
      <c r="M189" s="236"/>
      <c r="N189" s="199"/>
      <c r="O189" s="200">
        <f t="shared" si="1"/>
        <v>0</v>
      </c>
      <c r="Q189" s="201"/>
      <c r="S189" s="201">
        <f t="shared" si="2"/>
        <v>0</v>
      </c>
    </row>
    <row r="190" spans="1:19" ht="12.75" hidden="1" customHeight="1">
      <c r="B190" s="209" t="s">
        <v>209</v>
      </c>
      <c r="G190" s="212"/>
      <c r="H190" s="199"/>
      <c r="I190" s="199"/>
      <c r="J190" s="199"/>
      <c r="K190" s="212"/>
      <c r="L190" s="199"/>
      <c r="M190" s="212"/>
      <c r="N190" s="199"/>
      <c r="O190" s="212"/>
      <c r="Q190" s="199"/>
      <c r="S190" s="199"/>
    </row>
    <row r="191" spans="1:19" ht="12.75" hidden="1" customHeight="1">
      <c r="B191" s="209" t="s">
        <v>210</v>
      </c>
      <c r="G191" s="212"/>
      <c r="H191" s="199"/>
      <c r="I191" s="199"/>
      <c r="J191" s="199"/>
      <c r="K191" s="200"/>
      <c r="L191" s="199"/>
      <c r="M191" s="200"/>
      <c r="N191" s="199"/>
      <c r="O191" s="200">
        <f>SUM(K191,M191)</f>
        <v>0</v>
      </c>
      <c r="Q191" s="201"/>
      <c r="S191" s="201">
        <f>O191+Q191</f>
        <v>0</v>
      </c>
    </row>
    <row r="192" spans="1:19" ht="12.75" hidden="1" customHeight="1">
      <c r="B192" s="209" t="s">
        <v>211</v>
      </c>
      <c r="G192" s="212"/>
      <c r="H192" s="199"/>
      <c r="I192" s="199"/>
      <c r="J192" s="199"/>
      <c r="K192" s="200"/>
      <c r="L192" s="199"/>
      <c r="M192" s="200"/>
      <c r="N192" s="199"/>
      <c r="O192" s="200">
        <f>SUM(K192,M192)</f>
        <v>0</v>
      </c>
      <c r="Q192" s="201"/>
      <c r="S192" s="201">
        <f>O192+Q192</f>
        <v>0</v>
      </c>
    </row>
    <row r="193" spans="1:21" ht="12.75" hidden="1" customHeight="1">
      <c r="B193" s="209" t="s">
        <v>212</v>
      </c>
      <c r="G193" s="212"/>
      <c r="H193" s="199"/>
      <c r="I193" s="199"/>
      <c r="J193" s="199"/>
      <c r="K193" s="200"/>
      <c r="L193" s="199"/>
      <c r="M193" s="200"/>
      <c r="N193" s="199"/>
      <c r="O193" s="200">
        <f>SUM(K193,M193)</f>
        <v>0</v>
      </c>
      <c r="Q193" s="201"/>
      <c r="S193" s="201">
        <f>O193+Q193</f>
        <v>0</v>
      </c>
    </row>
    <row r="194" spans="1:21" ht="12.75" hidden="1" customHeight="1">
      <c r="B194" s="209" t="s">
        <v>213</v>
      </c>
      <c r="G194" s="212"/>
      <c r="H194" s="199"/>
      <c r="I194" s="199"/>
      <c r="J194" s="199"/>
      <c r="K194" s="200"/>
      <c r="L194" s="199"/>
      <c r="M194" s="200"/>
      <c r="N194" s="199"/>
      <c r="O194" s="200">
        <f>SUM(K194,M194)</f>
        <v>0</v>
      </c>
      <c r="Q194" s="201"/>
      <c r="S194" s="201">
        <f>O194+Q194</f>
        <v>0</v>
      </c>
    </row>
    <row r="195" spans="1:21" ht="12.75" hidden="1" customHeight="1">
      <c r="B195" s="209" t="s">
        <v>214</v>
      </c>
      <c r="G195" s="212"/>
      <c r="H195" s="199"/>
      <c r="I195" s="199"/>
      <c r="J195" s="199"/>
      <c r="K195" s="200"/>
      <c r="L195" s="199"/>
      <c r="M195" s="200"/>
      <c r="N195" s="199"/>
      <c r="O195" s="200">
        <f>SUM(K195,M195)</f>
        <v>0</v>
      </c>
      <c r="Q195" s="201"/>
      <c r="S195" s="201">
        <f>O195+Q195</f>
        <v>0</v>
      </c>
    </row>
    <row r="196" spans="1:21" ht="12.75" hidden="1" customHeight="1">
      <c r="B196" s="209" t="s">
        <v>215</v>
      </c>
      <c r="G196" s="212"/>
      <c r="H196" s="199"/>
      <c r="I196" s="199"/>
      <c r="J196" s="199"/>
      <c r="K196" s="200">
        <f>SUM(K191:K195)</f>
        <v>0</v>
      </c>
      <c r="L196" s="199"/>
      <c r="M196" s="200">
        <f>SUM(M191:M195)</f>
        <v>0</v>
      </c>
      <c r="N196" s="199"/>
      <c r="O196" s="200">
        <f>IF(SUM(K196,M196)=SUM(O191:O195),SUM(O191:O195),"ERROR")</f>
        <v>0</v>
      </c>
      <c r="Q196" s="201">
        <f>SUM(Q191:Q195)</f>
        <v>0</v>
      </c>
      <c r="S196" s="201">
        <f>IF(SUM(O196,Q196)=SUM(S191:S195),SUM(S191:S195),"ERROR")</f>
        <v>0</v>
      </c>
    </row>
    <row r="197" spans="1:21" ht="12.75" hidden="1" customHeight="1">
      <c r="B197" s="209"/>
      <c r="G197" s="212"/>
      <c r="H197" s="199"/>
      <c r="I197" s="199"/>
      <c r="J197" s="199"/>
      <c r="K197" s="249"/>
      <c r="L197" s="199"/>
      <c r="M197" s="249"/>
      <c r="N197" s="199"/>
      <c r="O197" s="249"/>
      <c r="Q197" s="204"/>
      <c r="R197" s="250"/>
      <c r="S197" s="204"/>
    </row>
    <row r="198" spans="1:21" ht="12.75" hidden="1" customHeight="1">
      <c r="B198" s="186" t="s">
        <v>439</v>
      </c>
      <c r="G198" s="212"/>
      <c r="H198" s="199"/>
      <c r="I198" s="199"/>
      <c r="J198" s="199"/>
      <c r="K198" s="249"/>
      <c r="L198" s="199"/>
      <c r="M198" s="249"/>
      <c r="N198" s="199"/>
      <c r="O198" s="249"/>
      <c r="Q198" s="204"/>
      <c r="S198" s="204"/>
    </row>
    <row r="199" spans="1:21" ht="12.75" hidden="1" customHeight="1">
      <c r="B199" s="209"/>
      <c r="C199" s="209" t="s">
        <v>440</v>
      </c>
      <c r="G199" s="200">
        <f>'Fund Financial Stmt Template'!O141</f>
        <v>0</v>
      </c>
      <c r="H199" s="199"/>
      <c r="I199" s="199"/>
      <c r="J199" s="199"/>
      <c r="K199" s="212"/>
      <c r="L199" s="199"/>
      <c r="M199" s="200"/>
      <c r="N199" s="199"/>
      <c r="O199" s="200">
        <f>IF(SUM(G199,M199)=0,SUM(G199,M199),"Should be zero")</f>
        <v>0</v>
      </c>
      <c r="Q199" s="201"/>
      <c r="S199" s="201">
        <f>O199+Q199</f>
        <v>0</v>
      </c>
    </row>
    <row r="200" spans="1:21" ht="12.75" hidden="1" customHeight="1">
      <c r="B200" s="209"/>
      <c r="C200" s="209" t="s">
        <v>441</v>
      </c>
      <c r="G200" s="200">
        <f>'Fund Financial Stmt Template'!O142</f>
        <v>0</v>
      </c>
      <c r="H200" s="199"/>
      <c r="I200" s="199"/>
      <c r="J200" s="199"/>
      <c r="K200" s="212"/>
      <c r="L200" s="199"/>
      <c r="M200" s="200"/>
      <c r="N200" s="199"/>
      <c r="O200" s="200">
        <f>IF(SUM(G200,M200)=0,SUM(G200,M200),"Should be zero")</f>
        <v>0</v>
      </c>
      <c r="Q200" s="201"/>
      <c r="S200" s="201">
        <f>O200+Q200</f>
        <v>0</v>
      </c>
    </row>
    <row r="201" spans="1:21" ht="12.75" customHeight="1" thickBot="1">
      <c r="B201" s="209"/>
      <c r="C201" s="203"/>
      <c r="G201" s="212"/>
      <c r="H201" s="199"/>
      <c r="I201" s="199"/>
      <c r="J201" s="199"/>
      <c r="K201" s="249"/>
      <c r="L201" s="199"/>
      <c r="M201" s="249"/>
      <c r="N201" s="199"/>
      <c r="O201" s="249"/>
      <c r="Q201" s="204"/>
      <c r="S201" s="204"/>
    </row>
    <row r="202" spans="1:21" ht="12.75" customHeight="1" thickBot="1">
      <c r="C202" s="209"/>
      <c r="E202" s="203" t="s">
        <v>653</v>
      </c>
      <c r="G202" s="210">
        <f>IF(SUM(G184:G189)='Fund Financial Stmt Template'!O144,SUM(G184:G189),"ERROR")</f>
        <v>0</v>
      </c>
      <c r="H202" s="199"/>
      <c r="I202" s="199"/>
      <c r="J202" s="199"/>
      <c r="K202" s="210">
        <f>SUM(K184:K189)</f>
        <v>0</v>
      </c>
      <c r="L202" s="199"/>
      <c r="M202" s="210">
        <f>SUM(M184:M189)</f>
        <v>0</v>
      </c>
      <c r="N202" s="199"/>
      <c r="O202" s="210">
        <f>IF(SUM(G202,K202,M202)=SUM(O184:O189),SUM(O184:O189),"ERROR")</f>
        <v>0</v>
      </c>
      <c r="Q202" s="211">
        <f>SUM(Q184:Q189,Q196, Q199:Q200)</f>
        <v>0</v>
      </c>
      <c r="S202" s="211">
        <f>IF(SUM(O202,Q202)=SUM(S184:S189,S196,S199:S200),SUM(S184:S189,S196,S199:S200),"ERROR")</f>
        <v>0</v>
      </c>
    </row>
    <row r="203" spans="1:21" ht="12.75" customHeight="1" thickBot="1">
      <c r="C203" s="209"/>
      <c r="G203" s="212"/>
      <c r="H203" s="199"/>
      <c r="I203" s="199"/>
      <c r="J203" s="199"/>
      <c r="K203" s="249"/>
      <c r="L203" s="199"/>
      <c r="M203" s="249"/>
      <c r="N203" s="199"/>
      <c r="O203" s="249"/>
      <c r="Q203" s="204"/>
      <c r="S203" s="204"/>
    </row>
    <row r="204" spans="1:21" ht="12.75" customHeight="1" thickBot="1">
      <c r="D204" s="209"/>
      <c r="E204" s="203" t="s">
        <v>654</v>
      </c>
      <c r="G204" s="210">
        <f>IF(SUM(G172,-G202)='Fund Financial Stmt Template'!O146,SUM(G172,-G202),"ERROR")</f>
        <v>0</v>
      </c>
      <c r="H204" s="199"/>
      <c r="I204" s="199"/>
      <c r="J204" s="199"/>
      <c r="K204" s="210">
        <f>K172-K202</f>
        <v>0</v>
      </c>
      <c r="L204" s="199"/>
      <c r="M204" s="210">
        <f>M172-M202</f>
        <v>0</v>
      </c>
      <c r="N204" s="199"/>
      <c r="O204" s="210">
        <f>IF(SUM(G204,K204,M204)=SUM(O172,-O202),SUM(O172,-O202),"ERROR")</f>
        <v>0</v>
      </c>
      <c r="Q204" s="211">
        <f>Q172-Q202</f>
        <v>0</v>
      </c>
      <c r="S204" s="211">
        <f>IF(SUM(O204,Q204)=SUM(S172,-S202),SUM(S172,-S202),"ERROR")</f>
        <v>0</v>
      </c>
    </row>
    <row r="205" spans="1:21" ht="12.75" customHeight="1">
      <c r="G205" s="212"/>
      <c r="H205" s="199"/>
      <c r="I205" s="199"/>
      <c r="J205" s="199"/>
      <c r="K205" s="249"/>
      <c r="L205" s="199"/>
      <c r="M205" s="249"/>
      <c r="N205" s="199"/>
      <c r="O205" s="249"/>
      <c r="Q205" s="204"/>
      <c r="S205" s="204"/>
    </row>
    <row r="206" spans="1:21">
      <c r="A206" s="209" t="s">
        <v>292</v>
      </c>
      <c r="E206" s="235" t="str">
        <f>IF(OR(K206&lt;&gt;0,M206&lt;&gt;0,G206&lt;&gt;0),"Answer Required","N/A")</f>
        <v>N/A</v>
      </c>
      <c r="G206" s="205">
        <f>'Fund Financial Stmt Template'!O148</f>
        <v>0</v>
      </c>
      <c r="H206" s="199"/>
      <c r="I206" s="199"/>
      <c r="J206" s="199"/>
      <c r="K206" s="237"/>
      <c r="L206" s="199"/>
      <c r="M206" s="237"/>
      <c r="N206" s="199"/>
      <c r="O206" s="205">
        <f>SUM(G206,K206,M206)</f>
        <v>0</v>
      </c>
      <c r="Q206" s="201"/>
      <c r="S206" s="201">
        <f>O206+Q206</f>
        <v>0</v>
      </c>
      <c r="U206" s="216"/>
    </row>
    <row r="207" spans="1:21">
      <c r="A207" s="209" t="s">
        <v>293</v>
      </c>
      <c r="E207" s="235" t="str">
        <f>IF(OR(K207&lt;&gt;0,M207&lt;&gt;0,G207&lt;&gt;0),"Answer Required","N/A")</f>
        <v>N/A</v>
      </c>
      <c r="G207" s="200">
        <f>'Fund Financial Stmt Template'!O149</f>
        <v>0</v>
      </c>
      <c r="H207" s="199"/>
      <c r="I207" s="199"/>
      <c r="J207" s="199"/>
      <c r="K207" s="236"/>
      <c r="L207" s="199"/>
      <c r="M207" s="236"/>
      <c r="N207" s="199"/>
      <c r="O207" s="200">
        <f>SUM(G207,K207,M207)</f>
        <v>0</v>
      </c>
      <c r="Q207" s="201"/>
      <c r="S207" s="201">
        <f>O207+Q207</f>
        <v>0</v>
      </c>
      <c r="U207" s="216"/>
    </row>
    <row r="208" spans="1:21" ht="12.75" customHeight="1">
      <c r="A208" s="209"/>
      <c r="E208" s="208"/>
      <c r="G208" s="212"/>
      <c r="H208" s="199"/>
      <c r="I208" s="199"/>
      <c r="J208" s="199"/>
      <c r="K208" s="199"/>
      <c r="L208" s="199"/>
      <c r="M208" s="199"/>
      <c r="N208" s="199"/>
      <c r="O208" s="199"/>
      <c r="Q208" s="199"/>
      <c r="S208" s="199"/>
      <c r="U208" s="216"/>
    </row>
    <row r="209" spans="1:21" ht="12.75" customHeight="1">
      <c r="A209" s="188" t="s">
        <v>296</v>
      </c>
      <c r="E209" s="208"/>
      <c r="G209" s="212"/>
      <c r="H209" s="199"/>
      <c r="I209" s="199"/>
      <c r="J209" s="199"/>
      <c r="K209" s="199"/>
      <c r="L209" s="199"/>
      <c r="M209" s="199"/>
      <c r="N209" s="199"/>
      <c r="O209" s="199"/>
      <c r="Q209" s="199"/>
      <c r="S209" s="199"/>
      <c r="U209" s="216"/>
    </row>
    <row r="210" spans="1:21" ht="12.75" customHeight="1">
      <c r="A210" s="209" t="s">
        <v>284</v>
      </c>
      <c r="E210" s="208"/>
      <c r="G210" s="200">
        <f>'Fund Financial Stmt Template'!O152</f>
        <v>0</v>
      </c>
      <c r="H210" s="199"/>
      <c r="I210" s="199"/>
      <c r="J210" s="199"/>
      <c r="K210" s="199"/>
      <c r="L210" s="199"/>
      <c r="M210" s="236"/>
      <c r="N210" s="199"/>
      <c r="O210" s="200">
        <f>IF(SUM(G210,M210)=0,SUM(G210,M210),"Should be zero")</f>
        <v>0</v>
      </c>
      <c r="Q210" s="201"/>
      <c r="S210" s="201">
        <f t="shared" ref="S210:S217" si="3">O210+Q210</f>
        <v>0</v>
      </c>
      <c r="U210" s="216"/>
    </row>
    <row r="211" spans="1:21" ht="12.75" customHeight="1">
      <c r="A211" s="209" t="s">
        <v>285</v>
      </c>
      <c r="E211" s="208"/>
      <c r="G211" s="200">
        <f>'Fund Financial Stmt Template'!O153</f>
        <v>0</v>
      </c>
      <c r="H211" s="199"/>
      <c r="I211" s="199"/>
      <c r="J211" s="199"/>
      <c r="K211" s="199"/>
      <c r="L211" s="199"/>
      <c r="M211" s="223"/>
      <c r="N211" s="199"/>
      <c r="O211" s="200">
        <f>IF(SUM(G211,M211)=0,SUM(G211,M211),"Should be zero")</f>
        <v>0</v>
      </c>
      <c r="Q211" s="221"/>
      <c r="S211" s="201">
        <f t="shared" si="3"/>
        <v>0</v>
      </c>
      <c r="U211" s="216"/>
    </row>
    <row r="212" spans="1:21" ht="12.75" customHeight="1">
      <c r="A212" s="209" t="s">
        <v>489</v>
      </c>
      <c r="G212" s="223">
        <f>'Fund Financial Stmt Template'!O154+'Fund Financial Stmt Template'!O155</f>
        <v>0</v>
      </c>
      <c r="H212" s="199"/>
      <c r="I212" s="199"/>
      <c r="J212" s="199"/>
      <c r="K212" s="236"/>
      <c r="L212" s="199"/>
      <c r="M212" s="251"/>
      <c r="N212" s="199"/>
      <c r="O212" s="223">
        <f>SUM(G212,K212,M212)</f>
        <v>0</v>
      </c>
      <c r="Q212" s="201"/>
      <c r="S212" s="201">
        <f t="shared" si="3"/>
        <v>0</v>
      </c>
    </row>
    <row r="213" spans="1:21" ht="12.75" hidden="1" customHeight="1">
      <c r="A213" s="209" t="s">
        <v>61</v>
      </c>
      <c r="G213" s="200">
        <f>'Fund Financial Stmt Template'!O156</f>
        <v>0</v>
      </c>
      <c r="H213" s="199"/>
      <c r="I213" s="199"/>
      <c r="J213" s="199"/>
      <c r="K213" s="201"/>
      <c r="L213" s="199"/>
      <c r="M213" s="201"/>
      <c r="N213" s="199"/>
      <c r="O213" s="201">
        <f>IF(SUM(G213,K213,M213)=0,SUM(G213,K213,M213),"Should be zero")</f>
        <v>0</v>
      </c>
      <c r="Q213" s="201"/>
      <c r="S213" s="201">
        <f t="shared" si="3"/>
        <v>0</v>
      </c>
    </row>
    <row r="214" spans="1:21" ht="12.75" hidden="1" customHeight="1">
      <c r="A214" s="209" t="s">
        <v>205</v>
      </c>
      <c r="G214" s="200">
        <f>'Fund Financial Stmt Template'!O157</f>
        <v>0</v>
      </c>
      <c r="H214" s="199"/>
      <c r="I214" s="199"/>
      <c r="J214" s="199"/>
      <c r="K214" s="201"/>
      <c r="L214" s="199"/>
      <c r="M214" s="201"/>
      <c r="N214" s="199"/>
      <c r="O214" s="201">
        <f>IF(SUM(G214,K214,M214)=0,SUM(G214,K214,M214),"Should be zero")</f>
        <v>0</v>
      </c>
      <c r="Q214" s="201"/>
      <c r="S214" s="201">
        <f t="shared" si="3"/>
        <v>0</v>
      </c>
    </row>
    <row r="215" spans="1:21" ht="12.75" hidden="1" customHeight="1">
      <c r="A215" s="209" t="s">
        <v>62</v>
      </c>
      <c r="G215" s="200">
        <f>'Fund Financial Stmt Template'!O158</f>
        <v>0</v>
      </c>
      <c r="H215" s="199"/>
      <c r="I215" s="199"/>
      <c r="J215" s="199"/>
      <c r="K215" s="201"/>
      <c r="L215" s="199"/>
      <c r="M215" s="201"/>
      <c r="N215" s="199"/>
      <c r="O215" s="201">
        <f>IF(SUM(G215,K215,M215)=0,SUM(G215,K215,M215),"Should be zero")</f>
        <v>0</v>
      </c>
      <c r="Q215" s="201"/>
      <c r="S215" s="201">
        <f t="shared" si="3"/>
        <v>0</v>
      </c>
    </row>
    <row r="216" spans="1:21" ht="12.75" hidden="1" customHeight="1">
      <c r="A216" s="209" t="s">
        <v>207</v>
      </c>
      <c r="G216" s="200">
        <f>'Fund Financial Stmt Template'!O159</f>
        <v>0</v>
      </c>
      <c r="H216" s="199"/>
      <c r="I216" s="199"/>
      <c r="J216" s="199"/>
      <c r="K216" s="201"/>
      <c r="L216" s="199"/>
      <c r="M216" s="201"/>
      <c r="N216" s="199"/>
      <c r="O216" s="201">
        <f>IF(SUM(G216,K216,M216)=0,SUM(G216,K216,M216),"Should be zero")</f>
        <v>0</v>
      </c>
      <c r="Q216" s="201"/>
      <c r="S216" s="201">
        <f t="shared" si="3"/>
        <v>0</v>
      </c>
    </row>
    <row r="217" spans="1:21" ht="12.75" hidden="1" customHeight="1">
      <c r="A217" s="209" t="s">
        <v>63</v>
      </c>
      <c r="G217" s="200">
        <f>'Fund Financial Stmt Template'!O160</f>
        <v>0</v>
      </c>
      <c r="H217" s="199"/>
      <c r="I217" s="199"/>
      <c r="J217" s="199"/>
      <c r="K217" s="201"/>
      <c r="L217" s="199"/>
      <c r="M217" s="201"/>
      <c r="N217" s="199"/>
      <c r="O217" s="201">
        <f>IF(SUM(G217,K217,M217)=0,SUM(G217,K217,M217),"Should be zero")</f>
        <v>0</v>
      </c>
      <c r="Q217" s="201"/>
      <c r="S217" s="201">
        <f t="shared" si="3"/>
        <v>0</v>
      </c>
    </row>
    <row r="218" spans="1:21" ht="12.75" customHeight="1" thickBot="1">
      <c r="A218" s="209"/>
      <c r="G218" s="212"/>
      <c r="H218" s="199"/>
      <c r="I218" s="199"/>
      <c r="J218" s="199"/>
      <c r="K218" s="199"/>
      <c r="L218" s="199"/>
      <c r="M218" s="199"/>
      <c r="N218" s="199"/>
      <c r="O218" s="199"/>
      <c r="Q218" s="199"/>
      <c r="S218" s="199"/>
    </row>
    <row r="219" spans="1:21" ht="12.75" customHeight="1" thickBot="1">
      <c r="D219" s="209"/>
      <c r="E219" s="203" t="s">
        <v>636</v>
      </c>
      <c r="G219" s="210">
        <f>IF(SUM(G204,G206:G207,G210:G212)='Fund Financial Stmt Template'!O162,SUM(G204,G206:G207,G210:G212),"ERROR")</f>
        <v>0</v>
      </c>
      <c r="H219" s="199"/>
      <c r="I219" s="199"/>
      <c r="J219" s="199"/>
      <c r="K219" s="210">
        <f>SUM(K204,K206:K207,K212)</f>
        <v>0</v>
      </c>
      <c r="L219" s="199"/>
      <c r="M219" s="210">
        <f>SUM(M204,M206:M207,M210:M212)</f>
        <v>0</v>
      </c>
      <c r="N219" s="199"/>
      <c r="O219" s="210">
        <f>IF(SUM(G219,K219,M219)=SUM(O204,O206:O207,O210:O212),SUM(O204,O206:O207,O210:O212),"ERROR")</f>
        <v>0</v>
      </c>
      <c r="Q219" s="211">
        <f>SUM(Q204,Q206:Q207,Q210:Q217)</f>
        <v>0</v>
      </c>
      <c r="S219" s="211">
        <f>IF(SUM(O219,Q219)=SUM(S204,S206:S207,S210:S217),SUM(S204,S206:S207,S210:S217),"ERROR")</f>
        <v>0</v>
      </c>
    </row>
    <row r="220" spans="1:21" ht="12.75" customHeight="1">
      <c r="D220" s="209"/>
      <c r="E220" s="203"/>
      <c r="G220" s="212"/>
      <c r="H220" s="199"/>
      <c r="I220" s="199"/>
      <c r="J220" s="199"/>
      <c r="K220" s="199"/>
      <c r="L220" s="199"/>
      <c r="M220" s="199"/>
      <c r="N220" s="199"/>
      <c r="O220" s="199"/>
      <c r="Q220" s="199"/>
      <c r="S220" s="199"/>
    </row>
    <row r="221" spans="1:21" ht="12.75" customHeight="1">
      <c r="A221" s="209" t="s">
        <v>635</v>
      </c>
      <c r="G221" s="200">
        <f>'Fund Financial Stmt Template'!O164</f>
        <v>0</v>
      </c>
      <c r="H221" s="199"/>
      <c r="I221" s="199"/>
      <c r="J221" s="199"/>
      <c r="K221" s="200">
        <f>IF(ISNA('Tab 6-Restatements'!J36),"",('Tab 6-Restatements'!J36))</f>
        <v>0</v>
      </c>
      <c r="L221" s="199"/>
      <c r="M221" s="200">
        <f>IF(ISNA('Tab 6-Restatements'!L36),"",('Tab 6-Restatements'!L36))</f>
        <v>0</v>
      </c>
      <c r="N221" s="199"/>
      <c r="O221" s="200">
        <f>SUM(G221,K221,M221)</f>
        <v>0</v>
      </c>
      <c r="Q221" s="201"/>
      <c r="S221" s="201">
        <f>O221+Q221</f>
        <v>0</v>
      </c>
      <c r="U221" s="202" t="s">
        <v>219</v>
      </c>
    </row>
    <row r="222" spans="1:21" ht="12.75" customHeight="1" thickBot="1">
      <c r="A222" s="209"/>
      <c r="G222" s="212"/>
      <c r="H222" s="199"/>
      <c r="I222" s="199"/>
      <c r="J222" s="199"/>
      <c r="K222" s="199"/>
      <c r="L222" s="199"/>
      <c r="M222" s="199"/>
      <c r="N222" s="199"/>
      <c r="O222" s="199"/>
      <c r="Q222" s="199"/>
      <c r="S222" s="199"/>
      <c r="U222" s="216"/>
    </row>
    <row r="223" spans="1:21" ht="12.75" customHeight="1" thickBot="1">
      <c r="A223" s="209"/>
      <c r="E223" s="203" t="s">
        <v>637</v>
      </c>
      <c r="G223" s="210">
        <f>IF(SUM(G219,G221)=G128,SUM(G219,G221),"ERROR")</f>
        <v>0</v>
      </c>
      <c r="H223" s="199"/>
      <c r="I223" s="199"/>
      <c r="J223" s="199"/>
      <c r="K223" s="210">
        <f>IF(SUM(K219,K221)=K128,SUM(K219,K221),"ERROR")</f>
        <v>0</v>
      </c>
      <c r="L223" s="199"/>
      <c r="M223" s="210">
        <f>IF(SUM(M219,M221)=M128,SUM(M219,M221),"ERROR")</f>
        <v>0</v>
      </c>
      <c r="N223" s="199"/>
      <c r="O223" s="210">
        <f>IF(SUM(O219,O221)=O128,SUM(O219,O221),"ERROR")</f>
        <v>0</v>
      </c>
      <c r="Q223" s="211" t="e">
        <f>IF(SUM(Q219,Q221)=Q128,SUM(Q219,Q221),"ERROR")</f>
        <v>#REF!</v>
      </c>
      <c r="S223" s="211" t="e">
        <f>IF(SUM(S219,S221)=S128,SUM(S219,S221),"ERROR")</f>
        <v>#REF!</v>
      </c>
      <c r="U223" s="216"/>
    </row>
    <row r="224" spans="1:21" ht="12.75" customHeight="1" thickBot="1">
      <c r="A224" s="186"/>
      <c r="G224" s="213"/>
      <c r="H224" s="213"/>
      <c r="J224" s="213"/>
      <c r="L224" s="213"/>
    </row>
    <row r="225" spans="4:15" ht="12.75" customHeight="1" thickBot="1">
      <c r="E225" s="224" t="s">
        <v>308</v>
      </c>
      <c r="G225" s="225">
        <f>(G219+G221)-G128</f>
        <v>0</v>
      </c>
      <c r="K225" s="225">
        <f>(K219+K221)-K128</f>
        <v>0</v>
      </c>
      <c r="M225" s="225">
        <f>(M219+M221)-M128</f>
        <v>0</v>
      </c>
      <c r="O225" s="225">
        <f>(O219+O221)-O128</f>
        <v>0</v>
      </c>
    </row>
    <row r="227" spans="4:15" hidden="1">
      <c r="D227" s="185" t="s">
        <v>454</v>
      </c>
    </row>
    <row r="228" spans="4:15" hidden="1">
      <c r="D228" s="185" t="s">
        <v>455</v>
      </c>
    </row>
    <row r="229" spans="4:15" hidden="1">
      <c r="D229" s="185" t="s">
        <v>456</v>
      </c>
    </row>
  </sheetData>
  <sheetProtection algorithmName="SHA-512" hashValue="kA8FoMMm0+bPOWuaFA8v41KNdC7CClW+iSe3JdjIartcrSrMPuLbrFRiPBAw3CoMr3T+NZw4kmWGgIBGBiFkog==" saltValue="f6mA5GmeZL5l4hEYCj5KyQ==" spinCount="100000" sheet="1" objects="1" scenarios="1"/>
  <customSheetViews>
    <customSheetView guid="{354F272F-821B-473B-9CC5-4001AD879606}" hiddenRows="1" hiddenColumns="1" topLeftCell="A199">
      <selection activeCell="G246" sqref="G246"/>
      <rowBreaks count="3" manualBreakCount="3">
        <brk id="58" max="16383" man="1"/>
        <brk id="129" max="21" man="1"/>
        <brk id="173" max="16383" man="1"/>
      </rowBreaks>
      <pageMargins left="0.27" right="0.18" top="0.61" bottom="0.46" header="0.28999999999999998" footer="0.17"/>
      <pageSetup scale="56" orientation="landscape"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32">
    <mergeCell ref="A135:D135"/>
    <mergeCell ref="A176:D176"/>
    <mergeCell ref="A177:D177"/>
    <mergeCell ref="A178:D178"/>
    <mergeCell ref="A62:D62"/>
    <mergeCell ref="A63:D63"/>
    <mergeCell ref="A133:D133"/>
    <mergeCell ref="A134:D134"/>
    <mergeCell ref="A5:D5"/>
    <mergeCell ref="A6:D6"/>
    <mergeCell ref="A8:D8"/>
    <mergeCell ref="A61:D61"/>
    <mergeCell ref="A1:D1"/>
    <mergeCell ref="A2:D2"/>
    <mergeCell ref="A3:D3"/>
    <mergeCell ref="A4:D4"/>
    <mergeCell ref="E177:G177"/>
    <mergeCell ref="E178:G178"/>
    <mergeCell ref="E176:G176"/>
    <mergeCell ref="E133:G133"/>
    <mergeCell ref="E134:G134"/>
    <mergeCell ref="E135:G135"/>
    <mergeCell ref="E1:G1"/>
    <mergeCell ref="E2:G2"/>
    <mergeCell ref="E3:G3"/>
    <mergeCell ref="E4:G4"/>
    <mergeCell ref="E62:G62"/>
    <mergeCell ref="E63:G63"/>
    <mergeCell ref="E5:G5"/>
    <mergeCell ref="E6:G6"/>
    <mergeCell ref="E8:G8"/>
    <mergeCell ref="E61:G61"/>
  </mergeCells>
  <phoneticPr fontId="40" type="noConversion"/>
  <conditionalFormatting sqref="E73">
    <cfRule type="cellIs" dxfId="121" priority="2" operator="equal">
      <formula>"Answer Required"</formula>
    </cfRule>
  </conditionalFormatting>
  <conditionalFormatting sqref="E83">
    <cfRule type="cellIs" dxfId="120" priority="1" operator="equal">
      <formula>"Answer Required"</formula>
    </cfRule>
  </conditionalFormatting>
  <conditionalFormatting sqref="E92">
    <cfRule type="cellIs" dxfId="119" priority="9" operator="equal">
      <formula>"Answer Required"</formula>
    </cfRule>
  </conditionalFormatting>
  <conditionalFormatting sqref="E105">
    <cfRule type="cellIs" dxfId="118" priority="8" operator="equal">
      <formula>"Answer Required"</formula>
    </cfRule>
  </conditionalFormatting>
  <conditionalFormatting sqref="E110">
    <cfRule type="cellIs" dxfId="117" priority="5" operator="equal">
      <formula>"Answer Required"</formula>
    </cfRule>
  </conditionalFormatting>
  <conditionalFormatting sqref="E124">
    <cfRule type="cellIs" dxfId="116" priority="7" operator="equal">
      <formula>"Answer Required"</formula>
    </cfRule>
  </conditionalFormatting>
  <conditionalFormatting sqref="E206:E207">
    <cfRule type="cellIs" dxfId="115" priority="6" operator="equal">
      <formula>"Answer Required"</formula>
    </cfRule>
  </conditionalFormatting>
  <dataValidations xWindow="979" yWindow="556" count="28">
    <dataValidation allowBlank="1" showInputMessage="1" showErrorMessage="1" prompt="_x000a__x000a_" sqref="G249:G65555 G228:G229 H227:H229 H270:H65555" xr:uid="{00000000-0002-0000-0600-000000000000}"/>
    <dataValidation type="whole" allowBlank="1" showErrorMessage="1" prompt="_x000a__x000a_" sqref="O175:S181 S81 R80:R81 O34:S34 O69:S69 O61:S66 O39:S39 O49:S49 P80:P81 O81 R85:S85 O85:P85 O116:S117 O113:S114 I117 K117 G117:G127 M117 O107:S107 I125 O183:S183 O127:S127 O203:S203 O197:S198 O132:O138 O218:S218 O220:S220 O201:S201 O165:S166 I119 O119:S119 O125:S125 O140:S141 O145:S145 O149:S149 O153:S153 O157:S157 O171:S171 O161:S161 O222:S222 O205:S205 P130:S138 P224:S225 O224 O22:S22 O1:S12 O28:S28 O14:S15" xr:uid="{00000000-0002-0000-0600-000001000000}">
      <formula1>-99999999999999900</formula1>
      <formula2>9999999999999990000</formula2>
    </dataValidation>
    <dataValidation type="whole" allowBlank="1" showErrorMessage="1" sqref="G223 I223:J223 L223" xr:uid="{00000000-0002-0000-0600-000002000000}">
      <formula1>-9999999999999990000</formula1>
      <formula2>99999999999999900</formula2>
    </dataValidation>
    <dataValidation type="whole" allowBlank="1" showErrorMessage="1" prompt="_x000a__x000a__x000a_" sqref="G222" xr:uid="{00000000-0002-0000-0600-000003000000}">
      <formula1>-99999999999999900</formula1>
      <formula2>99999999999999900</formula2>
    </dataValidation>
    <dataValidation allowBlank="1" showErrorMessage="1" prompt="_x000a__x000a_" sqref="R139:S139 O67:P68 G64:G69 R67:S68 R182:S182 O182:P182 O139:P139 G132 G230:G248 G182 G136:G140 G224 G226:G227 O13:P13 H2:H11 G9:G15 R13:S13 G7 H226 H230:H234" xr:uid="{00000000-0002-0000-0600-000004000000}"/>
    <dataValidation type="whole" allowBlank="1" showErrorMessage="1" prompt="_x000a__x000a_" sqref="G205 L172:L174 G191:G198 G203 G141:G171 J172:J174 L202 G201 I202:J202 G183 G175 G177:G181" xr:uid="{00000000-0002-0000-0600-000005000000}">
      <formula1>0</formula1>
      <formula2>999999999999999000000</formula2>
    </dataValidation>
    <dataValidation type="whole" allowBlank="1" showErrorMessage="1" prompt="_x000a__x000a_" sqref="I206 G218" xr:uid="{00000000-0002-0000-0600-000006000000}">
      <formula1>-9999999999999990</formula1>
      <formula2>9999999999999990</formula2>
    </dataValidation>
    <dataValidation type="whole" allowBlank="1" showErrorMessage="1" prompt="_x000a__x000a_" sqref="G220 I219:J219 L219" xr:uid="{00000000-0002-0000-0600-000007000000}">
      <formula1>0</formula1>
      <formula2>9.99999999999999E+27</formula2>
    </dataValidation>
    <dataValidation allowBlank="1" showErrorMessage="1" sqref="M205 M81 Q67:Q68 L95:L97 K37:K42 M39 M37 K46:K49 I76:J91 K61:K69 G47:G48 M46 M49 O46:S46 M61:M69 K197:M198 K81 I99:J105 R98:S98 O98:P98 J92 K85 M85 Q182 Q139 L118:L170 J118:J170 M113:M114 L113:L116 K113:K114 K116 I113:J116 M116 I107:M107 G115:G116 M132:M141 I149 Q74:Q75 I182:I183 L203:L205 K127 M203 I222:M222 I220:M220 M127 I201:M201 I171:M171 I185:I198 J182:J198 K145 I199:L200 I132:I141 K182:K183 I127 I212:J218 L221 I145 M165:M166 K119 M119 K125 M125 K165:K166 M161 K161 M157 K157 M153 K153 M149 K149 M145 I153 K132:K141 I165:I166 I161 I157 I203:J205 K205 K203 K218:M218 I175:L181 M175:M183 N218:N225 L182:L194 M224 I95:J97 U14:U66 Q97:Q98 Q93:Q94 Q84:Q85 Q81 I224:J225 K224 L224:L225 L76:L92 L99:L105 N1:N205 T1:T225 H12:H225 Q13 I28:M28 I22:J24 M1:M15 K24 K22 L22:L24 M22 I1:L20 L29:L69 K29:K34 M29:M34 U1:U12 U69:U225 M56 I29:J55 I57:J69 J56" xr:uid="{00000000-0002-0000-0600-000008000000}"/>
    <dataValidation type="whole" allowBlank="1" showErrorMessage="1" sqref="J206:J207 I207:I211" xr:uid="{00000000-0002-0000-0600-000009000000}">
      <formula1>-9999999999999990</formula1>
      <formula2>9999999999999990</formula2>
    </dataValidation>
    <dataValidation type="whole" allowBlank="1" showErrorMessage="1" promptTitle="Extraordinary Items" prompt="Transactions or events that are BOTH unusual in nature and infrequent in occurrence" sqref="J208:J211" xr:uid="{00000000-0002-0000-0600-00000A000000}">
      <formula1>-9999999999999990</formula1>
      <formula2>9999999999999990</formula2>
    </dataValidation>
    <dataValidation type="whole" allowBlank="1" showErrorMessage="1" promptTitle="Beginning Fund Balance" prompt="Beginning fund balance must equal the prior year's ending fund balance.  If it does not, complete the Restatement Footnote." sqref="J221" xr:uid="{00000000-0002-0000-0600-00000B000000}">
      <formula1>-99999999999999900</formula1>
      <formula2>99999999999999900</formula2>
    </dataValidation>
    <dataValidation type="whole" allowBlank="1" showErrorMessage="1" sqref="I221" xr:uid="{00000000-0002-0000-0600-00000C000000}">
      <formula1>-99999999999999900</formula1>
      <formula2>99999999999999900</formula2>
    </dataValidation>
    <dataValidation type="whole" allowBlank="1" showErrorMessage="1" error="Enter only whole numbers" sqref="E187 O75 K74:K75 K213:K217 M40:M43 K43 M23:M24 M38 M16:M20 K23 M74:M75 K190:K191 M190:M191 M213:M217 K208:K211 M208:M209 M211" xr:uid="{00000000-0002-0000-0600-00000D000000}">
      <formula1>-9999999999999</formula1>
      <formula2>9999999999999</formula2>
    </dataValidation>
    <dataValidation type="whole" allowBlank="1" showInputMessage="1" showErrorMessage="1" error="Enter only whole numbers" promptTitle="Principal Retirement" prompt="This line item is only used for Debt Service Funds" sqref="M199" xr:uid="{00000000-0002-0000-0600-00000E000000}">
      <formula1>-1000000000000</formula1>
      <formula2>1000000000000</formula2>
    </dataValidation>
    <dataValidation type="whole" allowBlank="1" showInputMessage="1" showErrorMessage="1" error="Enter only whole numbers" promptTitle="Interest and Charges" prompt="This line item is only used for Debt Service Funds" sqref="M200" xr:uid="{00000000-0002-0000-0600-00000F000000}">
      <formula1>-1000000000000</formula1>
      <formula2>1000000000000</formula2>
    </dataValidation>
    <dataValidation allowBlank="1" sqref="M221 O223:S223 R82:S84 L206:L217 O82:P84 K97 R47:S48 Q190 Q45 Q33 O76:O80 M45 K45 M53:M60 G50:G60 O29:P33 G35:G38 M47:M48 P70:P79 O70:O74 M172:M173 S80 G82:G84 E8:G8 Q25:Q27 M93:M94 G70:G80 R99:S106 R86:S97 O225 M84 K84 O40:P45 G206:G217 R70:S79 R120:S124 Q106 R118:S118 K106 I92 R199:S200 K53:K60 M111:M112 G108:G112 O202:S202 O221:P221 G86:G97 R126:S126 R35:S38 M128:M131 K128:K131 I128:I131 G128:G131 I184 O108:S112 R146:S148 R150:S152 R154:S156 R158:S160 G172:G174 I172:I174 K172:K174 O172:S174 R115:S115 R167:S170 R162:S164 G184:G190 O128:S129 G199:G200 G202 G204 O204:S204 G219 G221 K202 M202 R142:S144 K204 M204 M21 K219 M219 O219:S219 R221:S221 M223 K223 K221 K93:K94 M97 G29:G33 R29:S33 O47:P48 G40:G45 R40:S45 O35:P38 O126:P126 O120:P124 O118:P118 O115:P115 O167:P170 O162:P164 O158:P160 O154:P156 O150:P152 O146:P148 O142:P144 O199:P200 O184:P196 R184:S196 Q196 N206:P217 R206:S217 Q208:Q209 O130:O131 G225 M225 K225 O86:P97 Q21 O99:P106 M25:M27 M106 R16:S21 O16:P21 R23:S27 G16:G27 K111:K112 M50:M51 K50:K51 M108:M109 K108:K109 O50:S60 O23:P27" xr:uid="{00000000-0002-0000-0600-000010000000}"/>
    <dataValidation type="whole" allowBlank="1" showInputMessage="1" showErrorMessage="1" error="Enter only whole numbers" prompt="Enter only positive numbers" sqref="M192:M193 K192:K193" xr:uid="{00000000-0002-0000-0600-000011000000}">
      <formula1>1</formula1>
      <formula2>1000000000000</formula2>
    </dataValidation>
    <dataValidation type="whole" allowBlank="1" showInputMessage="1" showErrorMessage="1" error="Enter only negative numbers" prompt="Enter only negative numbers" sqref="M194 K194" xr:uid="{00000000-0002-0000-0600-000012000000}">
      <formula1>-1000000000000</formula1>
      <formula2>-1</formula2>
    </dataValidation>
    <dataValidation type="whole" allowBlank="1" showErrorMessage="1" prompt="_x000a__x000a_" sqref="G113:G114 L70:L75 I70:J75 G81 G98:G107 L108:L112 G85 I106:J106 L106 I108:J112 L93:L94 I93:J94 I98:M98" xr:uid="{00000000-0002-0000-0600-000013000000}">
      <formula1>0</formula1>
      <formula2>9999999999999990000</formula2>
    </dataValidation>
    <dataValidation type="whole" allowBlank="1" showInputMessage="1" showErrorMessage="1" prompt="Only applicable for Debt Service Funds_x000a__x000a_" sqref="L117" xr:uid="{00000000-0002-0000-0600-000014000000}">
      <formula1>-99999999999999900</formula1>
      <formula2>9999999999999990000</formula2>
    </dataValidation>
    <dataValidation type="whole" allowBlank="1" showErrorMessage="1" prompt="_x000a__x000a_" sqref="G39 G49 G46 G34 G28 I21:L21 I25:L27" xr:uid="{00000000-0002-0000-0600-000015000000}">
      <formula1>0</formula1>
      <formula2>9999999999999990</formula2>
    </dataValidation>
    <dataValidation type="whole" allowBlank="1" sqref="Q29:Q32 Q35:Q38 Q40:Q44 Q47:Q48 Q115 Q118 Q120:Q124 Q126 Q142:Q144 Q146:Q148 Q150:Q152 Q154:Q156 Q158:Q160 Q162:Q164 Q167:Q170 Q210:Q217 Q23:Q24 Q16:Q20" xr:uid="{00000000-0002-0000-0600-000016000000}">
      <formula1>-1000000000000</formula1>
      <formula2>1000000000000</formula2>
    </dataValidation>
    <dataValidation type="whole" allowBlank="1" showErrorMessage="1" sqref="Q70:Q73 Q76:Q80 Q82:Q83 Q86:Q92 Q95:Q96 Q99:Q105" xr:uid="{00000000-0002-0000-0600-000017000000}">
      <formula1>-1000000000000</formula1>
      <formula2>1000000000000</formula2>
    </dataValidation>
    <dataValidation type="whole" allowBlank="1" showInputMessage="1" showErrorMessage="1" sqref="K195 M195 Q221" xr:uid="{00000000-0002-0000-0600-000018000000}">
      <formula1>-1000000000000</formula1>
      <formula2>1000000000000</formula2>
    </dataValidation>
    <dataValidation type="whole" allowBlank="1" sqref="Q184:Q189 Q191:Q195 Q199:Q200 Q206:Q207" xr:uid="{00000000-0002-0000-0600-000019000000}">
      <formula1>-1000000000</formula1>
      <formula2>1000000000</formula2>
    </dataValidation>
    <dataValidation type="whole" allowBlank="1" showInputMessage="1" showErrorMessage="1" error="Enter a whole number." sqref="M210 K35:K36 M44 K44 K52 M52 M70:M73 K70:K73 K76:K80 M76:M80 M86:M92 K82:K83 M82:M83 K86:K92 K95:K96 K99:K105 K167:K170 M167:M170 M95:M96 M99:M105 K110 M110 K115 M118 M115 K118 I118 I120:I124 K120:K124 M120:M124 I126 K126 M126 I142:I144 K142:K144 M142:M144 I146:I148 K146:K148 M146:M148 I150:I152 K150:K152 M150:M152 I154:I156 K154:K156 M154:M156 I158:I160 K158:K160 M158:M160 I162:I164 K162:K164 M162:M164 I167:I170 K184:K189 M184:M189 M35:M36 M206:M207 K212 M212 K206:K207" xr:uid="{00000000-0002-0000-0600-00001A000000}">
      <formula1>-9999999999999</formula1>
      <formula2>9999999999999</formula2>
    </dataValidation>
    <dataValidation type="whole" allowBlank="1" showErrorMessage="1" prompt="Only applicable for Debt Service Funds_x000a__x000a_" sqref="J117" xr:uid="{00000000-0002-0000-0600-00001B000000}">
      <formula1>-99999999999999900</formula1>
      <formula2>9999999999999990000</formula2>
    </dataValidation>
  </dataValidations>
  <pageMargins left="0.27" right="0.18" top="0.61" bottom="0.46" header="0.28999999999999998" footer="0.17"/>
  <pageSetup scale="56" orientation="landscape"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rowBreaks count="3" manualBreakCount="3">
    <brk id="60" max="16383" man="1"/>
    <brk id="131" max="21" man="1"/>
    <brk id="175" max="16383"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6"/>
  <sheetViews>
    <sheetView zoomScale="89" zoomScaleNormal="89" workbookViewId="0">
      <selection activeCell="D1" sqref="D1:G1"/>
    </sheetView>
  </sheetViews>
  <sheetFormatPr defaultColWidth="8.85546875" defaultRowHeight="14.1" customHeight="1"/>
  <cols>
    <col min="1" max="1" width="7.28515625" style="191" customWidth="1"/>
    <col min="2" max="2" width="7.7109375" style="191" bestFit="1" customWidth="1"/>
    <col min="3" max="3" width="20.7109375" style="191" customWidth="1"/>
    <col min="4" max="4" width="18.5703125" style="252" customWidth="1"/>
    <col min="5" max="5" width="18.7109375" style="254" customWidth="1"/>
    <col min="6" max="6" width="33" style="191" customWidth="1"/>
    <col min="7" max="7" width="28.140625" style="191" customWidth="1"/>
    <col min="8" max="8" width="26.7109375" style="191" customWidth="1"/>
    <col min="9" max="9" width="22.42578125" style="191" customWidth="1"/>
    <col min="10" max="10" width="40.42578125" style="191" customWidth="1"/>
    <col min="11" max="16384" width="8.85546875" style="191"/>
  </cols>
  <sheetData>
    <row r="1" spans="1:9" ht="14.1" customHeight="1">
      <c r="A1" s="974" t="s">
        <v>399</v>
      </c>
      <c r="B1" s="975"/>
      <c r="C1" s="976"/>
      <c r="D1" s="911" t="str">
        <f>IF('Fund Financial Stmt Template'!E1="","",'Fund Financial Stmt Template'!E1)</f>
        <v/>
      </c>
      <c r="E1" s="911"/>
      <c r="F1" s="913"/>
    </row>
    <row r="2" spans="1:9" ht="14.1" hidden="1" customHeight="1">
      <c r="C2" s="252"/>
      <c r="D2" s="429"/>
      <c r="E2" s="253"/>
      <c r="F2" s="253"/>
    </row>
    <row r="3" spans="1:9" ht="14.1" hidden="1" customHeight="1">
      <c r="C3" s="252"/>
      <c r="D3" s="429"/>
      <c r="E3" s="253"/>
      <c r="F3" s="253"/>
    </row>
    <row r="4" spans="1:9" ht="30" customHeight="1">
      <c r="A4" s="977" t="s">
        <v>362</v>
      </c>
      <c r="B4" s="960"/>
      <c r="C4" s="964"/>
      <c r="D4" s="908" t="str">
        <f>'Fund Financial Stmt Template'!E2</f>
        <v/>
      </c>
      <c r="E4" s="909"/>
      <c r="F4" s="910"/>
      <c r="G4" s="254"/>
      <c r="H4" s="254"/>
    </row>
    <row r="5" spans="1:9" ht="14.1" customHeight="1">
      <c r="A5" s="977" t="s">
        <v>419</v>
      </c>
      <c r="B5" s="960"/>
      <c r="C5" s="964"/>
      <c r="D5" s="950" t="str">
        <f>IF('Fund Financial Stmt Template'!E3="","",'Fund Financial Stmt Template'!E3)</f>
        <v/>
      </c>
      <c r="E5" s="950"/>
      <c r="F5" s="950"/>
      <c r="G5" s="254"/>
      <c r="H5" s="254"/>
    </row>
    <row r="6" spans="1:9" ht="14.1" customHeight="1">
      <c r="A6" s="977" t="s">
        <v>420</v>
      </c>
      <c r="B6" s="960"/>
      <c r="C6" s="964"/>
      <c r="D6" s="952" t="str">
        <f>IF('Fund Financial Stmt Template'!E4="","",'Fund Financial Stmt Template'!E4)</f>
        <v/>
      </c>
      <c r="E6" s="952"/>
      <c r="F6" s="952"/>
      <c r="G6" s="254"/>
      <c r="H6" s="254"/>
    </row>
    <row r="7" spans="1:9" ht="14.1" customHeight="1">
      <c r="A7" s="977" t="s">
        <v>421</v>
      </c>
      <c r="B7" s="960"/>
      <c r="C7" s="964"/>
      <c r="D7" s="973" t="str">
        <f>IF('Fund Financial Stmt Template'!E5="","",'Fund Financial Stmt Template'!E5)</f>
        <v/>
      </c>
      <c r="E7" s="973"/>
      <c r="F7" s="950"/>
      <c r="G7" s="254"/>
      <c r="H7" s="254"/>
    </row>
    <row r="8" spans="1:9" ht="14.1" customHeight="1">
      <c r="A8" s="963" t="s">
        <v>418</v>
      </c>
      <c r="B8" s="963"/>
      <c r="C8" s="964"/>
      <c r="D8" s="965" t="str">
        <f>IF('Fund Financial Stmt Template'!E6="","",'Fund Financial Stmt Template'!E6)</f>
        <v/>
      </c>
      <c r="E8" s="965"/>
      <c r="F8" s="943"/>
      <c r="G8" s="255"/>
      <c r="H8" s="255"/>
    </row>
    <row r="9" spans="1:9" ht="14.1" customHeight="1">
      <c r="A9" s="963" t="s">
        <v>491</v>
      </c>
      <c r="B9" s="963"/>
      <c r="C9" s="964"/>
      <c r="D9" s="966" t="str">
        <f>IF('Fund Financial Stmt Template'!E8="","",'Fund Financial Stmt Template'!E8)</f>
        <v/>
      </c>
      <c r="E9" s="966"/>
      <c r="F9" s="967"/>
      <c r="G9" s="255"/>
      <c r="H9" s="255"/>
    </row>
    <row r="10" spans="1:9" ht="14.1" customHeight="1">
      <c r="A10" s="256"/>
      <c r="B10" s="256"/>
      <c r="C10" s="255"/>
      <c r="D10" s="254"/>
      <c r="F10" s="254"/>
      <c r="G10" s="255"/>
      <c r="H10" s="255"/>
    </row>
    <row r="11" spans="1:9" ht="14.1" customHeight="1">
      <c r="A11" s="256"/>
      <c r="B11" s="256"/>
      <c r="C11" s="255"/>
      <c r="D11" s="254"/>
      <c r="F11" s="254"/>
      <c r="G11" s="255"/>
      <c r="H11" s="255"/>
    </row>
    <row r="13" spans="1:9" ht="14.1" customHeight="1">
      <c r="B13" s="257" t="s">
        <v>33</v>
      </c>
      <c r="C13" s="191" t="s">
        <v>2563</v>
      </c>
      <c r="H13" s="258">
        <f>'Fund Financial Stmt Template'!O19</f>
        <v>0</v>
      </c>
      <c r="I13" s="259"/>
    </row>
    <row r="14" spans="1:9" ht="12.75">
      <c r="B14" s="257"/>
      <c r="C14" s="191" t="s">
        <v>2849</v>
      </c>
      <c r="H14" s="121" t="str">
        <f>IF(H13&lt;0,"Answer Required","")</f>
        <v/>
      </c>
      <c r="I14" s="259"/>
    </row>
    <row r="15" spans="1:9" ht="20.25" customHeight="1">
      <c r="B15" s="257" t="s">
        <v>34</v>
      </c>
      <c r="C15" s="191" t="s">
        <v>35</v>
      </c>
    </row>
    <row r="16" spans="1:9" ht="14.1" customHeight="1">
      <c r="B16" s="257"/>
      <c r="C16" s="191" t="s">
        <v>36</v>
      </c>
      <c r="H16" s="258">
        <f>'Fund Financial Stmt Template'!O20</f>
        <v>0</v>
      </c>
      <c r="I16" s="260"/>
    </row>
    <row r="17" spans="1:9" ht="14.1" customHeight="1">
      <c r="B17" s="257"/>
      <c r="C17" s="191" t="s">
        <v>222</v>
      </c>
      <c r="G17" s="261"/>
      <c r="H17" s="558"/>
      <c r="I17" s="572" t="str">
        <f>IF(AND(H16&gt;0,H17=""),"Answer Required","")</f>
        <v/>
      </c>
    </row>
    <row r="18" spans="1:9" ht="12.75">
      <c r="B18" s="257"/>
      <c r="C18" s="191" t="s">
        <v>450</v>
      </c>
      <c r="H18" s="121" t="str">
        <f>IF(H16&lt;0,"Answer Required","")</f>
        <v/>
      </c>
      <c r="I18" s="259"/>
    </row>
    <row r="19" spans="1:9" ht="12.75">
      <c r="B19" s="257"/>
      <c r="H19" s="262"/>
      <c r="I19" s="259"/>
    </row>
    <row r="20" spans="1:9" ht="12.75">
      <c r="B20" s="257" t="s">
        <v>587</v>
      </c>
      <c r="C20" s="191" t="s">
        <v>588</v>
      </c>
      <c r="H20" s="262"/>
      <c r="I20" s="263"/>
    </row>
    <row r="21" spans="1:9" ht="12.75">
      <c r="B21" s="257"/>
      <c r="C21" s="191" t="s">
        <v>814</v>
      </c>
      <c r="H21" s="264"/>
    </row>
    <row r="22" spans="1:9" ht="12.75">
      <c r="B22" s="257"/>
      <c r="C22" s="191" t="s">
        <v>818</v>
      </c>
      <c r="H22" s="558"/>
    </row>
    <row r="23" spans="1:9" ht="12.75">
      <c r="B23" s="257"/>
      <c r="C23" s="191" t="s">
        <v>819</v>
      </c>
      <c r="H23" s="558"/>
    </row>
    <row r="24" spans="1:9" ht="12.75">
      <c r="B24" s="257"/>
      <c r="C24" s="191" t="s">
        <v>813</v>
      </c>
      <c r="H24" s="265">
        <f>H22+H23</f>
        <v>0</v>
      </c>
    </row>
    <row r="25" spans="1:9" ht="12.75">
      <c r="B25" s="257"/>
      <c r="C25" s="191" t="s">
        <v>2763</v>
      </c>
      <c r="H25" s="558"/>
    </row>
    <row r="26" spans="1:9" ht="12.75">
      <c r="B26" s="257"/>
      <c r="H26" s="264"/>
    </row>
    <row r="27" spans="1:9" ht="14.1" customHeight="1">
      <c r="B27" s="257" t="s">
        <v>589</v>
      </c>
      <c r="C27" s="191" t="s">
        <v>2764</v>
      </c>
      <c r="H27" s="265">
        <f>IFERROR(H17+H25,)</f>
        <v>0</v>
      </c>
    </row>
    <row r="28" spans="1:9" ht="14.1" customHeight="1">
      <c r="B28" s="266"/>
      <c r="C28" s="267"/>
      <c r="D28" s="268"/>
      <c r="E28" s="269"/>
      <c r="F28" s="267"/>
      <c r="G28" s="267"/>
      <c r="H28" s="241"/>
      <c r="I28" s="263"/>
    </row>
    <row r="29" spans="1:9" ht="14.1" customHeight="1">
      <c r="B29" s="257" t="s">
        <v>37</v>
      </c>
      <c r="C29" s="191" t="s">
        <v>714</v>
      </c>
      <c r="H29" s="231" t="s">
        <v>204</v>
      </c>
      <c r="I29" s="231"/>
    </row>
    <row r="30" spans="1:9" ht="14.1" customHeight="1">
      <c r="A30" s="257"/>
      <c r="B30" s="257"/>
      <c r="C30" s="191" t="s">
        <v>2765</v>
      </c>
      <c r="H30" s="558"/>
      <c r="I30" s="572" t="str">
        <f>IF(AND(H27&gt;0,H30=""),"Answer Required","")</f>
        <v/>
      </c>
    </row>
    <row r="31" spans="1:9" ht="14.1" customHeight="1">
      <c r="A31" s="257"/>
      <c r="B31" s="257"/>
      <c r="F31" s="270"/>
      <c r="G31" s="270"/>
    </row>
    <row r="32" spans="1:9" ht="14.1" customHeight="1">
      <c r="A32" s="257"/>
      <c r="B32" s="257"/>
      <c r="C32" s="271" t="s">
        <v>255</v>
      </c>
      <c r="F32" s="270"/>
      <c r="G32" s="270"/>
    </row>
    <row r="33" spans="1:10" ht="14.1" customHeight="1">
      <c r="A33" s="272"/>
      <c r="B33" s="272"/>
      <c r="C33" s="271" t="s">
        <v>563</v>
      </c>
      <c r="D33" s="273"/>
      <c r="E33" s="273"/>
      <c r="F33" s="270"/>
      <c r="G33" s="270"/>
      <c r="H33" s="558"/>
      <c r="I33" s="259"/>
    </row>
    <row r="34" spans="1:10" ht="14.1" hidden="1" customHeight="1">
      <c r="A34" s="257"/>
      <c r="B34" s="257"/>
    </row>
    <row r="35" spans="1:10" ht="14.1" customHeight="1">
      <c r="A35" s="257"/>
      <c r="B35" s="257"/>
      <c r="C35" s="271"/>
    </row>
    <row r="36" spans="1:10" ht="14.1" customHeight="1">
      <c r="A36" s="257"/>
      <c r="B36" s="257"/>
      <c r="C36" s="191" t="s">
        <v>2766</v>
      </c>
      <c r="D36" s="191"/>
      <c r="E36" s="191"/>
      <c r="G36" s="231"/>
    </row>
    <row r="37" spans="1:10" ht="14.1" customHeight="1">
      <c r="A37" s="257"/>
      <c r="B37" s="257"/>
      <c r="C37" s="191" t="s">
        <v>2767</v>
      </c>
      <c r="D37" s="191"/>
      <c r="E37" s="191"/>
      <c r="G37" s="231"/>
      <c r="J37" s="231"/>
    </row>
    <row r="38" spans="1:10" ht="14.1" customHeight="1">
      <c r="A38" s="257"/>
      <c r="B38" s="257"/>
      <c r="C38" s="191" t="s">
        <v>337</v>
      </c>
      <c r="D38" s="191"/>
      <c r="E38" s="191"/>
      <c r="H38" s="558"/>
      <c r="J38" s="259"/>
    </row>
    <row r="39" spans="1:10" ht="14.1" customHeight="1">
      <c r="A39" s="257"/>
      <c r="B39" s="257"/>
      <c r="C39" s="191" t="s">
        <v>338</v>
      </c>
      <c r="D39" s="191"/>
      <c r="E39" s="191"/>
      <c r="H39" s="558"/>
      <c r="J39" s="259"/>
    </row>
    <row r="40" spans="1:10" ht="14.1" customHeight="1">
      <c r="A40" s="257"/>
      <c r="B40" s="257"/>
      <c r="C40" s="191" t="s">
        <v>339</v>
      </c>
      <c r="D40" s="191"/>
      <c r="E40" s="191"/>
      <c r="H40" s="558"/>
      <c r="J40" s="259"/>
    </row>
    <row r="41" spans="1:10" ht="14.1" customHeight="1">
      <c r="A41" s="257"/>
      <c r="B41" s="257"/>
      <c r="C41" s="191" t="s">
        <v>517</v>
      </c>
      <c r="D41" s="191"/>
      <c r="E41" s="191"/>
    </row>
    <row r="42" spans="1:10" ht="14.1" customHeight="1">
      <c r="A42" s="257"/>
      <c r="B42" s="257"/>
      <c r="I42" s="274" t="s">
        <v>309</v>
      </c>
    </row>
    <row r="43" spans="1:10" ht="14.1" customHeight="1" thickBot="1">
      <c r="A43" s="257"/>
      <c r="B43" s="257"/>
      <c r="C43" s="191" t="s">
        <v>590</v>
      </c>
      <c r="H43" s="275">
        <f>IF((H30+H33+H38+H39+H40)=H27,H30+H33+H38+H39+H40,"ERROR")</f>
        <v>0</v>
      </c>
      <c r="I43" s="276">
        <f>SUM(H30+H33+H38+H39+H40)-H27</f>
        <v>0</v>
      </c>
    </row>
    <row r="44" spans="1:10" ht="14.1" customHeight="1" thickTop="1">
      <c r="A44" s="257"/>
      <c r="B44" s="257"/>
      <c r="C44" s="191" t="s">
        <v>2542</v>
      </c>
      <c r="H44" s="277"/>
      <c r="I44" s="278"/>
    </row>
    <row r="45" spans="1:10" ht="14.1" customHeight="1">
      <c r="A45" s="257"/>
      <c r="B45" s="257"/>
      <c r="I45" s="277"/>
    </row>
    <row r="46" spans="1:10" ht="12.75">
      <c r="A46" s="257"/>
      <c r="B46" s="257"/>
      <c r="C46" s="271" t="s">
        <v>385</v>
      </c>
      <c r="H46" s="559" t="str">
        <f>IF($H$30&gt;250000,"Answer Required","N/A")</f>
        <v>N/A</v>
      </c>
      <c r="I46" s="277"/>
    </row>
    <row r="47" spans="1:10" ht="14.1" customHeight="1">
      <c r="A47" s="257"/>
      <c r="B47" s="257"/>
    </row>
    <row r="48" spans="1:10" ht="14.1" customHeight="1">
      <c r="B48" s="257" t="s">
        <v>188</v>
      </c>
      <c r="C48" s="191" t="s">
        <v>2706</v>
      </c>
    </row>
    <row r="49" spans="1:10" ht="14.1" customHeight="1">
      <c r="A49" s="257" t="s">
        <v>388</v>
      </c>
      <c r="B49" s="257"/>
      <c r="C49" s="254" t="s">
        <v>2707</v>
      </c>
    </row>
    <row r="50" spans="1:10" ht="14.1" customHeight="1">
      <c r="A50" s="257"/>
      <c r="B50" s="257"/>
      <c r="C50" s="252"/>
      <c r="D50" s="254"/>
      <c r="E50" s="191"/>
    </row>
    <row r="51" spans="1:10" ht="14.1" hidden="1" customHeight="1">
      <c r="A51" s="257"/>
      <c r="B51" s="257"/>
      <c r="C51" s="231"/>
      <c r="D51" s="279"/>
      <c r="E51" s="279"/>
      <c r="F51" s="279"/>
      <c r="G51" s="279"/>
      <c r="H51" s="279"/>
      <c r="I51" s="231"/>
    </row>
    <row r="52" spans="1:10" ht="35.1" customHeight="1">
      <c r="A52" s="257"/>
      <c r="B52" s="257"/>
      <c r="C52" s="231"/>
      <c r="D52" s="231"/>
      <c r="E52" s="231"/>
      <c r="F52" s="231"/>
      <c r="G52" s="971" t="s">
        <v>2710</v>
      </c>
      <c r="H52" s="972"/>
      <c r="I52" s="280"/>
    </row>
    <row r="53" spans="1:10" ht="50.1" customHeight="1">
      <c r="A53" s="257"/>
      <c r="B53" s="257"/>
      <c r="C53" s="430" t="s">
        <v>2826</v>
      </c>
      <c r="D53" s="281" t="s">
        <v>2722</v>
      </c>
      <c r="E53" s="281" t="s">
        <v>863</v>
      </c>
      <c r="F53" s="281" t="s">
        <v>864</v>
      </c>
      <c r="G53" s="281" t="s">
        <v>2708</v>
      </c>
      <c r="H53" s="281" t="s">
        <v>2709</v>
      </c>
      <c r="I53" s="430" t="s">
        <v>2768</v>
      </c>
      <c r="J53" s="282" t="s">
        <v>2564</v>
      </c>
    </row>
    <row r="54" spans="1:10" ht="15">
      <c r="A54" s="257"/>
      <c r="B54" s="257"/>
      <c r="C54" s="560"/>
      <c r="D54" s="561"/>
      <c r="E54" s="562"/>
      <c r="F54" s="283" t="str">
        <f>IF(E54="","",IFERROR(VLOOKUP(E54,'Fund Vlookup'!B:C,2,FALSE),"Verify fund number and Contact DOA"))</f>
        <v/>
      </c>
      <c r="G54" s="563"/>
      <c r="H54" s="563"/>
      <c r="I54" s="564" t="str">
        <f>IF(OR(G54&lt;&gt;"",H54&lt;&gt;""),"Answer Required","")</f>
        <v/>
      </c>
      <c r="J54" s="565" t="str">
        <f>IF(I54="","",IF(I54="No", "Answer Required","N/A"))</f>
        <v/>
      </c>
    </row>
    <row r="55" spans="1:10" ht="15">
      <c r="A55" s="257"/>
      <c r="B55" s="257"/>
      <c r="C55" s="560"/>
      <c r="D55" s="561"/>
      <c r="E55" s="562"/>
      <c r="F55" s="283" t="str">
        <f>IF(E55="","",IFERROR(VLOOKUP(E55,'Fund Vlookup'!B:C,2,FALSE),"Verify fund number and Contact DOA"))</f>
        <v/>
      </c>
      <c r="G55" s="558"/>
      <c r="H55" s="558"/>
      <c r="I55" s="566" t="str">
        <f t="shared" ref="I55:I91" si="0">IF(OR(G55&lt;&gt;"",H55&lt;&gt;""),"Answer Required","")</f>
        <v/>
      </c>
      <c r="J55" s="567" t="str">
        <f t="shared" ref="J55:J91" si="1">IF(I55="","",IF(I55="No", "Answer Required","N/A"))</f>
        <v/>
      </c>
    </row>
    <row r="56" spans="1:10" ht="15">
      <c r="A56" s="257"/>
      <c r="B56" s="257"/>
      <c r="C56" s="560"/>
      <c r="D56" s="561"/>
      <c r="E56" s="562"/>
      <c r="F56" s="283" t="str">
        <f>IF(E56="","",IFERROR(VLOOKUP(E56,'Fund Vlookup'!B:C,2,FALSE),"Verify fund number and Contact DOA"))</f>
        <v/>
      </c>
      <c r="G56" s="558"/>
      <c r="H56" s="558"/>
      <c r="I56" s="566" t="str">
        <f t="shared" si="0"/>
        <v/>
      </c>
      <c r="J56" s="567" t="str">
        <f t="shared" si="1"/>
        <v/>
      </c>
    </row>
    <row r="57" spans="1:10" ht="15">
      <c r="A57" s="257"/>
      <c r="B57" s="257"/>
      <c r="C57" s="560"/>
      <c r="D57" s="561"/>
      <c r="E57" s="562"/>
      <c r="F57" s="283" t="str">
        <f>IF(E57="","",IFERROR(VLOOKUP(E57,'Fund Vlookup'!B:C,2,FALSE),"Verify fund number and Contact DOA"))</f>
        <v/>
      </c>
      <c r="G57" s="558"/>
      <c r="H57" s="558"/>
      <c r="I57" s="566" t="str">
        <f t="shared" si="0"/>
        <v/>
      </c>
      <c r="J57" s="567" t="str">
        <f t="shared" si="1"/>
        <v/>
      </c>
    </row>
    <row r="58" spans="1:10" ht="15">
      <c r="A58" s="257"/>
      <c r="B58" s="257"/>
      <c r="C58" s="560"/>
      <c r="D58" s="561"/>
      <c r="E58" s="562"/>
      <c r="F58" s="283" t="str">
        <f>IF(E58="","",IFERROR(VLOOKUP(E58,'Fund Vlookup'!B:C,2,FALSE),"Verify fund number and Contact DOA"))</f>
        <v/>
      </c>
      <c r="G58" s="558"/>
      <c r="H58" s="558"/>
      <c r="I58" s="566" t="str">
        <f t="shared" si="0"/>
        <v/>
      </c>
      <c r="J58" s="567" t="str">
        <f t="shared" si="1"/>
        <v/>
      </c>
    </row>
    <row r="59" spans="1:10" ht="15">
      <c r="A59" s="257"/>
      <c r="B59" s="257"/>
      <c r="C59" s="560"/>
      <c r="D59" s="561"/>
      <c r="E59" s="562"/>
      <c r="F59" s="283" t="str">
        <f>IF(E59="","",IFERROR(VLOOKUP(E59,'Fund Vlookup'!B:C,2,FALSE),"Verify fund number and Contact DOA"))</f>
        <v/>
      </c>
      <c r="G59" s="558"/>
      <c r="H59" s="558"/>
      <c r="I59" s="566" t="str">
        <f t="shared" si="0"/>
        <v/>
      </c>
      <c r="J59" s="567" t="str">
        <f t="shared" si="1"/>
        <v/>
      </c>
    </row>
    <row r="60" spans="1:10" ht="15">
      <c r="A60" s="257"/>
      <c r="B60" s="257"/>
      <c r="C60" s="560"/>
      <c r="D60" s="561"/>
      <c r="E60" s="562"/>
      <c r="F60" s="283" t="str">
        <f>IF(E60="","",IFERROR(VLOOKUP(E60,'Fund Vlookup'!B:C,2,FALSE),"Verify fund number and Contact DOA"))</f>
        <v/>
      </c>
      <c r="G60" s="558"/>
      <c r="H60" s="558"/>
      <c r="I60" s="566" t="str">
        <f t="shared" si="0"/>
        <v/>
      </c>
      <c r="J60" s="567" t="str">
        <f t="shared" si="1"/>
        <v/>
      </c>
    </row>
    <row r="61" spans="1:10" ht="15">
      <c r="A61" s="257"/>
      <c r="B61" s="257"/>
      <c r="C61" s="560"/>
      <c r="D61" s="561"/>
      <c r="E61" s="562"/>
      <c r="F61" s="283" t="str">
        <f>IF(E61="","",IFERROR(VLOOKUP(E61,'Fund Vlookup'!B:C,2,FALSE),"Verify fund number and Contact DOA"))</f>
        <v/>
      </c>
      <c r="G61" s="558"/>
      <c r="H61" s="558"/>
      <c r="I61" s="566" t="str">
        <f t="shared" si="0"/>
        <v/>
      </c>
      <c r="J61" s="567" t="str">
        <f t="shared" si="1"/>
        <v/>
      </c>
    </row>
    <row r="62" spans="1:10" ht="15">
      <c r="A62" s="257"/>
      <c r="B62" s="257"/>
      <c r="C62" s="560"/>
      <c r="D62" s="561"/>
      <c r="E62" s="562"/>
      <c r="F62" s="283" t="str">
        <f>IF(E62="","",IFERROR(VLOOKUP(E62,'Fund Vlookup'!B:C,2,FALSE),"Verify fund number and Contact DOA"))</f>
        <v/>
      </c>
      <c r="G62" s="558"/>
      <c r="H62" s="558"/>
      <c r="I62" s="566" t="str">
        <f t="shared" si="0"/>
        <v/>
      </c>
      <c r="J62" s="567" t="str">
        <f t="shared" si="1"/>
        <v/>
      </c>
    </row>
    <row r="63" spans="1:10" ht="15">
      <c r="A63" s="257"/>
      <c r="B63" s="257"/>
      <c r="C63" s="560"/>
      <c r="D63" s="561"/>
      <c r="E63" s="562"/>
      <c r="F63" s="283" t="str">
        <f>IF(E63="","",IFERROR(VLOOKUP(E63,'Fund Vlookup'!B:C,2,FALSE),"Verify fund number and Contact DOA"))</f>
        <v/>
      </c>
      <c r="G63" s="558"/>
      <c r="H63" s="558"/>
      <c r="I63" s="566" t="str">
        <f t="shared" si="0"/>
        <v/>
      </c>
      <c r="J63" s="567" t="str">
        <f t="shared" si="1"/>
        <v/>
      </c>
    </row>
    <row r="64" spans="1:10" ht="15">
      <c r="A64" s="257"/>
      <c r="B64" s="257"/>
      <c r="C64" s="560"/>
      <c r="D64" s="561"/>
      <c r="E64" s="562"/>
      <c r="F64" s="283" t="str">
        <f>IF(E64="","",IFERROR(VLOOKUP(E64,'Fund Vlookup'!B:C,2,FALSE),"Verify fund number and Contact DOA"))</f>
        <v/>
      </c>
      <c r="G64" s="558"/>
      <c r="H64" s="558"/>
      <c r="I64" s="566" t="str">
        <f t="shared" si="0"/>
        <v/>
      </c>
      <c r="J64" s="567" t="str">
        <f t="shared" si="1"/>
        <v/>
      </c>
    </row>
    <row r="65" spans="1:10" ht="15">
      <c r="A65" s="257"/>
      <c r="B65" s="257"/>
      <c r="C65" s="560"/>
      <c r="D65" s="561"/>
      <c r="E65" s="562"/>
      <c r="F65" s="283" t="str">
        <f>IF(E65="","",IFERROR(VLOOKUP(E65,'Fund Vlookup'!B:C,2,FALSE),"Verify fund number and Contact DOA"))</f>
        <v/>
      </c>
      <c r="G65" s="558"/>
      <c r="H65" s="558"/>
      <c r="I65" s="566" t="str">
        <f t="shared" si="0"/>
        <v/>
      </c>
      <c r="J65" s="567" t="str">
        <f t="shared" si="1"/>
        <v/>
      </c>
    </row>
    <row r="66" spans="1:10" ht="15">
      <c r="A66" s="257"/>
      <c r="B66" s="257"/>
      <c r="C66" s="560"/>
      <c r="D66" s="561"/>
      <c r="E66" s="562"/>
      <c r="F66" s="283" t="str">
        <f>IF(E66="","",IFERROR(VLOOKUP(E66,'Fund Vlookup'!B:C,2,FALSE),"Verify fund number and Contact DOA"))</f>
        <v/>
      </c>
      <c r="G66" s="558"/>
      <c r="H66" s="558"/>
      <c r="I66" s="566" t="str">
        <f t="shared" si="0"/>
        <v/>
      </c>
      <c r="J66" s="567" t="str">
        <f t="shared" si="1"/>
        <v/>
      </c>
    </row>
    <row r="67" spans="1:10" ht="15">
      <c r="A67" s="257"/>
      <c r="B67" s="257"/>
      <c r="C67" s="560"/>
      <c r="D67" s="561"/>
      <c r="E67" s="562"/>
      <c r="F67" s="283" t="str">
        <f>IF(E67="","",IFERROR(VLOOKUP(E67,'Fund Vlookup'!B:C,2,FALSE),"Verify fund number and Contact DOA"))</f>
        <v/>
      </c>
      <c r="G67" s="558"/>
      <c r="H67" s="558"/>
      <c r="I67" s="566" t="str">
        <f t="shared" si="0"/>
        <v/>
      </c>
      <c r="J67" s="567" t="str">
        <f t="shared" si="1"/>
        <v/>
      </c>
    </row>
    <row r="68" spans="1:10" ht="15">
      <c r="A68" s="257"/>
      <c r="B68" s="257"/>
      <c r="C68" s="560"/>
      <c r="D68" s="561"/>
      <c r="E68" s="562"/>
      <c r="F68" s="283" t="str">
        <f>IF(E68="","",IFERROR(VLOOKUP(E68,'Fund Vlookup'!B:C,2,FALSE),"Verify fund number and Contact DOA"))</f>
        <v/>
      </c>
      <c r="G68" s="558"/>
      <c r="H68" s="558"/>
      <c r="I68" s="566" t="str">
        <f t="shared" si="0"/>
        <v/>
      </c>
      <c r="J68" s="567" t="str">
        <f t="shared" si="1"/>
        <v/>
      </c>
    </row>
    <row r="69" spans="1:10" ht="15">
      <c r="A69" s="257"/>
      <c r="B69" s="257"/>
      <c r="C69" s="560"/>
      <c r="D69" s="561"/>
      <c r="E69" s="562"/>
      <c r="F69" s="283" t="str">
        <f>IF(E69="","",IFERROR(VLOOKUP(E69,'Fund Vlookup'!B:C,2,FALSE),"Verify fund number and Contact DOA"))</f>
        <v/>
      </c>
      <c r="G69" s="558"/>
      <c r="H69" s="558"/>
      <c r="I69" s="566" t="str">
        <f t="shared" si="0"/>
        <v/>
      </c>
      <c r="J69" s="567" t="str">
        <f t="shared" si="1"/>
        <v/>
      </c>
    </row>
    <row r="70" spans="1:10" ht="15">
      <c r="A70" s="257"/>
      <c r="B70" s="257"/>
      <c r="C70" s="560"/>
      <c r="D70" s="561"/>
      <c r="E70" s="562"/>
      <c r="F70" s="283" t="str">
        <f>IF(E70="","",IFERROR(VLOOKUP(E70,'Fund Vlookup'!B:C,2,FALSE),"Verify fund number and Contact DOA"))</f>
        <v/>
      </c>
      <c r="G70" s="558"/>
      <c r="H70" s="558"/>
      <c r="I70" s="566" t="str">
        <f t="shared" si="0"/>
        <v/>
      </c>
      <c r="J70" s="567" t="str">
        <f t="shared" si="1"/>
        <v/>
      </c>
    </row>
    <row r="71" spans="1:10" ht="15">
      <c r="A71" s="257"/>
      <c r="B71" s="257"/>
      <c r="C71" s="560"/>
      <c r="D71" s="561"/>
      <c r="E71" s="562"/>
      <c r="F71" s="283" t="str">
        <f>IF(E71="","",IFERROR(VLOOKUP(E71,'Fund Vlookup'!B:C,2,FALSE),"Verify fund number and Contact DOA"))</f>
        <v/>
      </c>
      <c r="G71" s="558"/>
      <c r="H71" s="558"/>
      <c r="I71" s="566" t="str">
        <f t="shared" si="0"/>
        <v/>
      </c>
      <c r="J71" s="567" t="str">
        <f t="shared" si="1"/>
        <v/>
      </c>
    </row>
    <row r="72" spans="1:10" ht="15">
      <c r="A72" s="257"/>
      <c r="B72" s="257"/>
      <c r="C72" s="560"/>
      <c r="D72" s="561"/>
      <c r="E72" s="562"/>
      <c r="F72" s="283" t="str">
        <f>IF(E72="","",IFERROR(VLOOKUP(E72,'Fund Vlookup'!B:C,2,FALSE),"Verify fund number and Contact DOA"))</f>
        <v/>
      </c>
      <c r="G72" s="558"/>
      <c r="H72" s="558"/>
      <c r="I72" s="566" t="str">
        <f t="shared" si="0"/>
        <v/>
      </c>
      <c r="J72" s="567" t="str">
        <f t="shared" si="1"/>
        <v/>
      </c>
    </row>
    <row r="73" spans="1:10" ht="15">
      <c r="A73" s="257"/>
      <c r="B73" s="257"/>
      <c r="C73" s="560"/>
      <c r="D73" s="561"/>
      <c r="E73" s="562"/>
      <c r="F73" s="283" t="str">
        <f>IF(E73="","",IFERROR(VLOOKUP(E73,'Fund Vlookup'!B:C,2,FALSE),"Verify fund number and Contact DOA"))</f>
        <v/>
      </c>
      <c r="G73" s="558"/>
      <c r="H73" s="558"/>
      <c r="I73" s="566" t="str">
        <f t="shared" si="0"/>
        <v/>
      </c>
      <c r="J73" s="567" t="str">
        <f t="shared" si="1"/>
        <v/>
      </c>
    </row>
    <row r="74" spans="1:10" ht="15">
      <c r="A74" s="257"/>
      <c r="B74" s="257"/>
      <c r="C74" s="560"/>
      <c r="D74" s="561"/>
      <c r="E74" s="562"/>
      <c r="F74" s="283" t="str">
        <f>IF(E74="","",IFERROR(VLOOKUP(E74,'Fund Vlookup'!B:C,2,FALSE),"Verify fund number and Contact DOA"))</f>
        <v/>
      </c>
      <c r="G74" s="558"/>
      <c r="H74" s="558"/>
      <c r="I74" s="566" t="str">
        <f t="shared" si="0"/>
        <v/>
      </c>
      <c r="J74" s="567" t="str">
        <f t="shared" si="1"/>
        <v/>
      </c>
    </row>
    <row r="75" spans="1:10" ht="15">
      <c r="A75" s="257"/>
      <c r="B75" s="257"/>
      <c r="C75" s="560"/>
      <c r="D75" s="561"/>
      <c r="E75" s="562"/>
      <c r="F75" s="283" t="str">
        <f>IF(E75="","",IFERROR(VLOOKUP(E75,'Fund Vlookup'!B:C,2,FALSE),"Verify fund number and Contact DOA"))</f>
        <v/>
      </c>
      <c r="G75" s="558"/>
      <c r="H75" s="558"/>
      <c r="I75" s="566" t="str">
        <f t="shared" si="0"/>
        <v/>
      </c>
      <c r="J75" s="567" t="str">
        <f t="shared" si="1"/>
        <v/>
      </c>
    </row>
    <row r="76" spans="1:10" ht="15">
      <c r="A76" s="257"/>
      <c r="B76" s="257"/>
      <c r="C76" s="560"/>
      <c r="D76" s="561"/>
      <c r="E76" s="562"/>
      <c r="F76" s="283" t="str">
        <f>IF(E76="","",IFERROR(VLOOKUP(E76,'Fund Vlookup'!B:C,2,FALSE),"Verify fund number and Contact DOA"))</f>
        <v/>
      </c>
      <c r="G76" s="558"/>
      <c r="H76" s="558"/>
      <c r="I76" s="566" t="str">
        <f t="shared" si="0"/>
        <v/>
      </c>
      <c r="J76" s="567" t="str">
        <f t="shared" si="1"/>
        <v/>
      </c>
    </row>
    <row r="77" spans="1:10" ht="15">
      <c r="A77" s="257"/>
      <c r="B77" s="257"/>
      <c r="C77" s="560"/>
      <c r="D77" s="561"/>
      <c r="E77" s="562"/>
      <c r="F77" s="283" t="str">
        <f>IF(E77="","",IFERROR(VLOOKUP(E77,'Fund Vlookup'!B:C,2,FALSE),"Verify fund number and Contact DOA"))</f>
        <v/>
      </c>
      <c r="G77" s="558"/>
      <c r="H77" s="558"/>
      <c r="I77" s="566" t="str">
        <f t="shared" si="0"/>
        <v/>
      </c>
      <c r="J77" s="567" t="str">
        <f t="shared" si="1"/>
        <v/>
      </c>
    </row>
    <row r="78" spans="1:10" ht="15">
      <c r="A78" s="257"/>
      <c r="B78" s="257"/>
      <c r="C78" s="560"/>
      <c r="D78" s="561"/>
      <c r="E78" s="562"/>
      <c r="F78" s="283" t="str">
        <f>IF(E78="","",IFERROR(VLOOKUP(E78,'Fund Vlookup'!B:C,2,FALSE),"Verify fund number and Contact DOA"))</f>
        <v/>
      </c>
      <c r="G78" s="558"/>
      <c r="H78" s="558"/>
      <c r="I78" s="566" t="str">
        <f t="shared" si="0"/>
        <v/>
      </c>
      <c r="J78" s="567" t="str">
        <f t="shared" si="1"/>
        <v/>
      </c>
    </row>
    <row r="79" spans="1:10" ht="15">
      <c r="A79" s="257"/>
      <c r="B79" s="257"/>
      <c r="C79" s="560"/>
      <c r="D79" s="561"/>
      <c r="E79" s="562"/>
      <c r="F79" s="283" t="str">
        <f>IF(E79="","",IFERROR(VLOOKUP(E79,'Fund Vlookup'!B:C,2,FALSE),"Verify fund number and Contact DOA"))</f>
        <v/>
      </c>
      <c r="G79" s="558"/>
      <c r="H79" s="558"/>
      <c r="I79" s="566" t="str">
        <f t="shared" si="0"/>
        <v/>
      </c>
      <c r="J79" s="567" t="str">
        <f t="shared" si="1"/>
        <v/>
      </c>
    </row>
    <row r="80" spans="1:10" ht="15">
      <c r="A80" s="257"/>
      <c r="B80" s="257"/>
      <c r="C80" s="560"/>
      <c r="D80" s="561"/>
      <c r="E80" s="562"/>
      <c r="F80" s="283" t="str">
        <f>IF(E80="","",IFERROR(VLOOKUP(E80,'Fund Vlookup'!B:C,2,FALSE),"Verify fund number and Contact DOA"))</f>
        <v/>
      </c>
      <c r="G80" s="558"/>
      <c r="H80" s="558"/>
      <c r="I80" s="566" t="str">
        <f t="shared" si="0"/>
        <v/>
      </c>
      <c r="J80" s="567" t="str">
        <f t="shared" si="1"/>
        <v/>
      </c>
    </row>
    <row r="81" spans="1:10" ht="15">
      <c r="A81" s="257"/>
      <c r="B81" s="257"/>
      <c r="C81" s="560"/>
      <c r="D81" s="561"/>
      <c r="E81" s="562"/>
      <c r="F81" s="283" t="str">
        <f>IF(E81="","",IFERROR(VLOOKUP(E81,'Fund Vlookup'!B:C,2,FALSE),"Verify fund number and Contact DOA"))</f>
        <v/>
      </c>
      <c r="G81" s="558"/>
      <c r="H81" s="558"/>
      <c r="I81" s="566" t="str">
        <f t="shared" si="0"/>
        <v/>
      </c>
      <c r="J81" s="567" t="str">
        <f t="shared" si="1"/>
        <v/>
      </c>
    </row>
    <row r="82" spans="1:10" ht="15">
      <c r="A82" s="257"/>
      <c r="B82" s="257"/>
      <c r="C82" s="560"/>
      <c r="D82" s="561"/>
      <c r="E82" s="562"/>
      <c r="F82" s="283" t="str">
        <f>IF(E82="","",IFERROR(VLOOKUP(E82,'Fund Vlookup'!B:C,2,FALSE),"Verify fund number and Contact DOA"))</f>
        <v/>
      </c>
      <c r="G82" s="558"/>
      <c r="H82" s="558"/>
      <c r="I82" s="566" t="str">
        <f t="shared" si="0"/>
        <v/>
      </c>
      <c r="J82" s="567" t="str">
        <f t="shared" si="1"/>
        <v/>
      </c>
    </row>
    <row r="83" spans="1:10" ht="15">
      <c r="A83" s="257"/>
      <c r="B83" s="257"/>
      <c r="C83" s="560"/>
      <c r="D83" s="561"/>
      <c r="E83" s="562"/>
      <c r="F83" s="283" t="str">
        <f>IF(E83="","",IFERROR(VLOOKUP(E83,'Fund Vlookup'!B:C,2,FALSE),"Verify fund number and Contact DOA"))</f>
        <v/>
      </c>
      <c r="G83" s="558"/>
      <c r="H83" s="558"/>
      <c r="I83" s="566" t="str">
        <f t="shared" si="0"/>
        <v/>
      </c>
      <c r="J83" s="567" t="str">
        <f t="shared" si="1"/>
        <v/>
      </c>
    </row>
    <row r="84" spans="1:10" ht="15">
      <c r="A84" s="257"/>
      <c r="B84" s="257"/>
      <c r="C84" s="560"/>
      <c r="D84" s="561"/>
      <c r="E84" s="562"/>
      <c r="F84" s="283" t="str">
        <f>IF(E84="","",IFERROR(VLOOKUP(E84,'Fund Vlookup'!B:C,2,FALSE),"Verify fund number and Contact DOA"))</f>
        <v/>
      </c>
      <c r="G84" s="558"/>
      <c r="H84" s="558"/>
      <c r="I84" s="566" t="str">
        <f t="shared" si="0"/>
        <v/>
      </c>
      <c r="J84" s="567" t="str">
        <f t="shared" si="1"/>
        <v/>
      </c>
    </row>
    <row r="85" spans="1:10" ht="15">
      <c r="A85" s="257"/>
      <c r="B85" s="257"/>
      <c r="C85" s="560"/>
      <c r="D85" s="561"/>
      <c r="E85" s="562"/>
      <c r="F85" s="283" t="str">
        <f>IF(E85="","",IFERROR(VLOOKUP(E85,'Fund Vlookup'!B:C,2,FALSE),"Verify fund number and Contact DOA"))</f>
        <v/>
      </c>
      <c r="G85" s="558"/>
      <c r="H85" s="558"/>
      <c r="I85" s="566" t="str">
        <f t="shared" si="0"/>
        <v/>
      </c>
      <c r="J85" s="567" t="str">
        <f t="shared" si="1"/>
        <v/>
      </c>
    </row>
    <row r="86" spans="1:10" ht="15">
      <c r="A86" s="257"/>
      <c r="B86" s="257"/>
      <c r="C86" s="560"/>
      <c r="D86" s="561"/>
      <c r="E86" s="562"/>
      <c r="F86" s="283" t="str">
        <f>IF(E86="","",IFERROR(VLOOKUP(E86,'Fund Vlookup'!B:C,2,FALSE),"Verify fund number and Contact DOA"))</f>
        <v/>
      </c>
      <c r="G86" s="558"/>
      <c r="H86" s="558"/>
      <c r="I86" s="566" t="str">
        <f t="shared" si="0"/>
        <v/>
      </c>
      <c r="J86" s="567" t="str">
        <f t="shared" si="1"/>
        <v/>
      </c>
    </row>
    <row r="87" spans="1:10" ht="15">
      <c r="A87" s="257"/>
      <c r="B87" s="257"/>
      <c r="C87" s="560"/>
      <c r="D87" s="561"/>
      <c r="E87" s="562"/>
      <c r="F87" s="283" t="str">
        <f>IF(E87="","",IFERROR(VLOOKUP(E87,'Fund Vlookup'!B:C,2,FALSE),"Verify fund number and Contact DOA"))</f>
        <v/>
      </c>
      <c r="G87" s="558"/>
      <c r="H87" s="558"/>
      <c r="I87" s="566" t="str">
        <f t="shared" si="0"/>
        <v/>
      </c>
      <c r="J87" s="567" t="str">
        <f t="shared" si="1"/>
        <v/>
      </c>
    </row>
    <row r="88" spans="1:10" ht="15">
      <c r="A88" s="257"/>
      <c r="B88" s="257"/>
      <c r="C88" s="560"/>
      <c r="D88" s="561"/>
      <c r="E88" s="562"/>
      <c r="F88" s="283" t="str">
        <f>IF(E88="","",IFERROR(VLOOKUP(E88,'Fund Vlookup'!B:C,2,FALSE),"Verify fund number and Contact DOA"))</f>
        <v/>
      </c>
      <c r="G88" s="558"/>
      <c r="H88" s="558"/>
      <c r="I88" s="566" t="str">
        <f t="shared" si="0"/>
        <v/>
      </c>
      <c r="J88" s="567" t="str">
        <f t="shared" si="1"/>
        <v/>
      </c>
    </row>
    <row r="89" spans="1:10" ht="15">
      <c r="A89" s="257"/>
      <c r="B89" s="257"/>
      <c r="C89" s="560"/>
      <c r="D89" s="561"/>
      <c r="E89" s="562"/>
      <c r="F89" s="283" t="str">
        <f>IF(E89="","",IFERROR(VLOOKUP(E89,'Fund Vlookup'!B:C,2,FALSE),"Verify fund number and Contact DOA"))</f>
        <v/>
      </c>
      <c r="G89" s="558"/>
      <c r="H89" s="558"/>
      <c r="I89" s="566" t="str">
        <f t="shared" si="0"/>
        <v/>
      </c>
      <c r="J89" s="567" t="str">
        <f t="shared" si="1"/>
        <v/>
      </c>
    </row>
    <row r="90" spans="1:10" ht="15">
      <c r="A90" s="257"/>
      <c r="B90" s="257"/>
      <c r="C90" s="560"/>
      <c r="D90" s="561"/>
      <c r="E90" s="562"/>
      <c r="F90" s="283" t="str">
        <f>IF(E90="","",IFERROR(VLOOKUP(E90,'Fund Vlookup'!B:C,2,FALSE),"Verify fund number and Contact DOA"))</f>
        <v/>
      </c>
      <c r="G90" s="558"/>
      <c r="H90" s="558"/>
      <c r="I90" s="566" t="str">
        <f t="shared" si="0"/>
        <v/>
      </c>
      <c r="J90" s="567" t="str">
        <f t="shared" si="1"/>
        <v/>
      </c>
    </row>
    <row r="91" spans="1:10" ht="15">
      <c r="A91" s="257"/>
      <c r="B91" s="257"/>
      <c r="C91" s="560"/>
      <c r="D91" s="561"/>
      <c r="E91" s="562"/>
      <c r="F91" s="283" t="str">
        <f>IF(E91="","",IFERROR(VLOOKUP(E91,'Fund Vlookup'!B:C,2,FALSE),"Verify fund number and Contact DOA"))</f>
        <v/>
      </c>
      <c r="G91" s="558"/>
      <c r="H91" s="558"/>
      <c r="I91" s="566" t="str">
        <f t="shared" si="0"/>
        <v/>
      </c>
      <c r="J91" s="567" t="str">
        <f t="shared" si="1"/>
        <v/>
      </c>
    </row>
    <row r="92" spans="1:10" ht="14.1" customHeight="1" thickBot="1">
      <c r="B92" s="257"/>
      <c r="C92" s="252"/>
      <c r="D92" s="191"/>
      <c r="F92" s="284" t="s">
        <v>136</v>
      </c>
      <c r="G92" s="285">
        <f>IF(SUM(G54:G91)='Fund Financial Stmt Template'!O22, SUM(G54:G91),"ERROR")</f>
        <v>0</v>
      </c>
      <c r="H92" s="285">
        <f>SUM(H54:H91)</f>
        <v>0</v>
      </c>
    </row>
    <row r="93" spans="1:10" ht="14.1" customHeight="1" thickTop="1">
      <c r="A93" s="257"/>
      <c r="B93" s="257"/>
      <c r="D93" s="191"/>
      <c r="F93" s="274" t="s">
        <v>309</v>
      </c>
      <c r="G93" s="278">
        <f>SUM(G54:G91)-'Fund Financial Stmt Template'!O22</f>
        <v>0</v>
      </c>
      <c r="H93" s="278"/>
    </row>
    <row r="94" spans="1:10" ht="60" customHeight="1">
      <c r="A94" s="257"/>
      <c r="B94" s="257"/>
      <c r="C94" s="252"/>
      <c r="D94" s="191"/>
      <c r="E94" s="191"/>
      <c r="F94" s="286"/>
    </row>
    <row r="95" spans="1:10" ht="14.1" customHeight="1">
      <c r="A95" s="257"/>
      <c r="B95" s="257"/>
      <c r="C95" s="252"/>
      <c r="D95" s="191"/>
      <c r="E95" s="191"/>
      <c r="F95" s="286"/>
    </row>
    <row r="96" spans="1:10" ht="14.1" customHeight="1">
      <c r="A96" s="257"/>
      <c r="B96" s="257"/>
      <c r="C96" s="252"/>
      <c r="D96" s="191"/>
      <c r="E96" s="191"/>
      <c r="F96" s="286"/>
    </row>
    <row r="97" spans="1:9" ht="14.1" customHeight="1">
      <c r="B97" s="257" t="s">
        <v>189</v>
      </c>
      <c r="C97" s="254" t="s">
        <v>321</v>
      </c>
      <c r="E97" s="191"/>
      <c r="G97" s="286"/>
    </row>
    <row r="98" spans="1:9" ht="14.1" customHeight="1">
      <c r="C98" s="254" t="s">
        <v>865</v>
      </c>
      <c r="E98" s="191"/>
      <c r="G98" s="286"/>
    </row>
    <row r="99" spans="1:9" ht="14.1" hidden="1" customHeight="1">
      <c r="C99" s="233"/>
      <c r="E99" s="191"/>
      <c r="G99" s="286"/>
    </row>
    <row r="100" spans="1:9" ht="14.1" hidden="1" customHeight="1">
      <c r="C100" s="231"/>
      <c r="D100" s="279"/>
      <c r="E100" s="279"/>
      <c r="F100" s="279"/>
      <c r="G100" s="279"/>
      <c r="H100" s="231"/>
    </row>
    <row r="101" spans="1:9" ht="14.1" customHeight="1">
      <c r="C101" s="231"/>
      <c r="D101" s="231"/>
      <c r="E101" s="231"/>
      <c r="F101" s="231"/>
      <c r="G101" s="279"/>
      <c r="H101" s="231"/>
    </row>
    <row r="102" spans="1:9" ht="50.1" customHeight="1">
      <c r="C102" s="430" t="s">
        <v>2769</v>
      </c>
      <c r="D102" s="281" t="s">
        <v>2722</v>
      </c>
      <c r="E102" s="281" t="s">
        <v>863</v>
      </c>
      <c r="F102" s="281" t="s">
        <v>864</v>
      </c>
      <c r="G102" s="281" t="s">
        <v>46</v>
      </c>
      <c r="H102" s="430" t="s">
        <v>2770</v>
      </c>
      <c r="I102" s="282" t="s">
        <v>2564</v>
      </c>
    </row>
    <row r="103" spans="1:9" ht="15">
      <c r="A103" s="257"/>
      <c r="B103" s="257"/>
      <c r="C103" s="560"/>
      <c r="D103" s="561"/>
      <c r="E103" s="562"/>
      <c r="F103" s="283" t="str">
        <f>IF(E103="","",IFERROR(VLOOKUP(E103,'Fund Vlookup'!B:C,2,FALSE),"Verify fund number and Contact DOA"))</f>
        <v/>
      </c>
      <c r="G103" s="563"/>
      <c r="H103" s="568" t="str">
        <f t="shared" ref="H103:H112" si="2">IF(G103&lt;&gt;"","Answer Required","")</f>
        <v/>
      </c>
      <c r="I103" s="565" t="str">
        <f t="shared" ref="I103:I112" si="3">IF(H103="","",IF(H103="No", "Answer Required","N/A"))</f>
        <v/>
      </c>
    </row>
    <row r="104" spans="1:9" ht="15">
      <c r="A104" s="257"/>
      <c r="B104" s="257"/>
      <c r="C104" s="560"/>
      <c r="D104" s="561"/>
      <c r="E104" s="562"/>
      <c r="F104" s="283" t="str">
        <f>IF(E104="","",IFERROR(VLOOKUP(E104,'Fund Vlookup'!B:C,2,FALSE),"Verify fund number and Contact DOA"))</f>
        <v/>
      </c>
      <c r="G104" s="558"/>
      <c r="H104" s="569" t="str">
        <f t="shared" si="2"/>
        <v/>
      </c>
      <c r="I104" s="567" t="str">
        <f t="shared" si="3"/>
        <v/>
      </c>
    </row>
    <row r="105" spans="1:9" ht="15">
      <c r="A105" s="257"/>
      <c r="B105" s="257"/>
      <c r="C105" s="560"/>
      <c r="D105" s="561"/>
      <c r="E105" s="562"/>
      <c r="F105" s="283" t="str">
        <f>IF(E105="","",IFERROR(VLOOKUP(E105,'Fund Vlookup'!B:C,2,FALSE),"Verify fund number and Contact DOA"))</f>
        <v/>
      </c>
      <c r="G105" s="558"/>
      <c r="H105" s="569" t="str">
        <f t="shared" si="2"/>
        <v/>
      </c>
      <c r="I105" s="567" t="str">
        <f t="shared" si="3"/>
        <v/>
      </c>
    </row>
    <row r="106" spans="1:9" ht="15">
      <c r="A106" s="257"/>
      <c r="B106" s="257"/>
      <c r="C106" s="560"/>
      <c r="D106" s="561"/>
      <c r="E106" s="562"/>
      <c r="F106" s="283" t="str">
        <f>IF(E106="","",IFERROR(VLOOKUP(E106,'Fund Vlookup'!B:C,2,FALSE),"Verify fund number and Contact DOA"))</f>
        <v/>
      </c>
      <c r="G106" s="558"/>
      <c r="H106" s="569" t="str">
        <f t="shared" si="2"/>
        <v/>
      </c>
      <c r="I106" s="567" t="str">
        <f t="shared" si="3"/>
        <v/>
      </c>
    </row>
    <row r="107" spans="1:9" ht="15">
      <c r="A107" s="257"/>
      <c r="B107" s="257"/>
      <c r="C107" s="560"/>
      <c r="D107" s="561"/>
      <c r="E107" s="562"/>
      <c r="F107" s="283" t="str">
        <f>IF(E107="","",IFERROR(VLOOKUP(E107,'Fund Vlookup'!B:C,2,FALSE),"Verify fund number and Contact DOA"))</f>
        <v/>
      </c>
      <c r="G107" s="558"/>
      <c r="H107" s="569" t="str">
        <f t="shared" si="2"/>
        <v/>
      </c>
      <c r="I107" s="567" t="str">
        <f t="shared" si="3"/>
        <v/>
      </c>
    </row>
    <row r="108" spans="1:9" ht="15">
      <c r="A108" s="257"/>
      <c r="B108" s="257"/>
      <c r="C108" s="560"/>
      <c r="D108" s="561"/>
      <c r="E108" s="562"/>
      <c r="F108" s="283" t="str">
        <f>IF(E108="","",IFERROR(VLOOKUP(E108,'Fund Vlookup'!B:C,2,FALSE),"Verify fund number and Contact DOA"))</f>
        <v/>
      </c>
      <c r="G108" s="558"/>
      <c r="H108" s="569" t="str">
        <f t="shared" si="2"/>
        <v/>
      </c>
      <c r="I108" s="567" t="str">
        <f t="shared" si="3"/>
        <v/>
      </c>
    </row>
    <row r="109" spans="1:9" ht="15">
      <c r="A109" s="257"/>
      <c r="B109" s="257"/>
      <c r="C109" s="560"/>
      <c r="D109" s="561"/>
      <c r="E109" s="562"/>
      <c r="F109" s="283" t="str">
        <f>IF(E109="","",IFERROR(VLOOKUP(E109,'Fund Vlookup'!B:C,2,FALSE),"Verify fund number and Contact DOA"))</f>
        <v/>
      </c>
      <c r="G109" s="558"/>
      <c r="H109" s="569" t="str">
        <f t="shared" si="2"/>
        <v/>
      </c>
      <c r="I109" s="567" t="str">
        <f t="shared" si="3"/>
        <v/>
      </c>
    </row>
    <row r="110" spans="1:9" ht="15">
      <c r="A110" s="257"/>
      <c r="B110" s="257"/>
      <c r="C110" s="560"/>
      <c r="D110" s="561"/>
      <c r="E110" s="562"/>
      <c r="F110" s="283" t="str">
        <f>IF(E110="","",IFERROR(VLOOKUP(E110,'Fund Vlookup'!B:C,2,FALSE),"Verify fund number and Contact DOA"))</f>
        <v/>
      </c>
      <c r="G110" s="558"/>
      <c r="H110" s="569" t="str">
        <f t="shared" si="2"/>
        <v/>
      </c>
      <c r="I110" s="567" t="str">
        <f t="shared" si="3"/>
        <v/>
      </c>
    </row>
    <row r="111" spans="1:9" ht="15">
      <c r="A111" s="257"/>
      <c r="B111" s="257"/>
      <c r="C111" s="560"/>
      <c r="D111" s="561"/>
      <c r="E111" s="562"/>
      <c r="F111" s="283" t="str">
        <f>IF(E111="","",IFERROR(VLOOKUP(E111,'Fund Vlookup'!B:C,2,FALSE),"Verify fund number and Contact DOA"))</f>
        <v/>
      </c>
      <c r="G111" s="558"/>
      <c r="H111" s="569" t="str">
        <f t="shared" si="2"/>
        <v/>
      </c>
      <c r="I111" s="567" t="str">
        <f t="shared" si="3"/>
        <v/>
      </c>
    </row>
    <row r="112" spans="1:9" ht="15">
      <c r="A112" s="257"/>
      <c r="B112" s="257"/>
      <c r="C112" s="560"/>
      <c r="D112" s="561"/>
      <c r="E112" s="562"/>
      <c r="F112" s="283" t="str">
        <f>IF(E112="","",IFERROR(VLOOKUP(E112,'Fund Vlookup'!B:C,2,FALSE),"Verify fund number and Contact DOA"))</f>
        <v/>
      </c>
      <c r="G112" s="558"/>
      <c r="H112" s="569" t="str">
        <f t="shared" si="2"/>
        <v/>
      </c>
      <c r="I112" s="567" t="str">
        <f t="shared" si="3"/>
        <v/>
      </c>
    </row>
    <row r="113" spans="1:9" ht="14.1" customHeight="1" thickBot="1">
      <c r="C113" s="252"/>
      <c r="D113" s="191"/>
      <c r="F113" s="284" t="s">
        <v>136</v>
      </c>
      <c r="G113" s="285">
        <f>SUM(G103:G112)</f>
        <v>0</v>
      </c>
    </row>
    <row r="114" spans="1:9" ht="14.1" customHeight="1" thickTop="1">
      <c r="A114" s="257"/>
      <c r="B114" s="257"/>
      <c r="C114" s="257"/>
      <c r="E114" s="191"/>
      <c r="G114" s="286"/>
    </row>
    <row r="115" spans="1:9" ht="14.1" customHeight="1">
      <c r="A115" s="257"/>
      <c r="B115" s="257"/>
      <c r="C115" s="257"/>
      <c r="E115" s="191"/>
      <c r="G115" s="286"/>
    </row>
    <row r="116" spans="1:9" ht="14.1" customHeight="1">
      <c r="B116" s="257" t="s">
        <v>190</v>
      </c>
      <c r="C116" s="254" t="s">
        <v>2539</v>
      </c>
      <c r="D116" s="287"/>
      <c r="E116" s="288"/>
      <c r="F116" s="288"/>
      <c r="G116" s="286"/>
    </row>
    <row r="117" spans="1:9" ht="14.1" customHeight="1">
      <c r="C117" s="254" t="s">
        <v>2555</v>
      </c>
      <c r="E117" s="191"/>
      <c r="G117" s="286"/>
    </row>
    <row r="118" spans="1:9" ht="14.1" customHeight="1">
      <c r="C118" s="254" t="s">
        <v>2543</v>
      </c>
      <c r="E118" s="191"/>
      <c r="G118" s="286"/>
      <c r="H118" s="258">
        <f>'Fund Financial Stmt Template'!O27+'Fund Financial Stmt Template'!O23</f>
        <v>0</v>
      </c>
    </row>
    <row r="119" spans="1:9" ht="14.1" customHeight="1">
      <c r="C119" s="257"/>
      <c r="E119" s="191"/>
      <c r="G119" s="286"/>
      <c r="H119" s="304" t="str">
        <f>IF(H118=SUM('Tab 1B-CE &amp; Inv Not W Treas '!Y:Y)+H24,"Agrees","Error")</f>
        <v>Agrees</v>
      </c>
    </row>
    <row r="120" spans="1:9" ht="14.1" customHeight="1">
      <c r="C120" s="257"/>
      <c r="E120" s="191"/>
      <c r="G120" s="286"/>
      <c r="H120" s="289" t="s">
        <v>309</v>
      </c>
      <c r="I120" s="290">
        <f>H118-SUM('Tab 1B-CE &amp; Inv Not W Treas '!Y:Y)-H24</f>
        <v>0</v>
      </c>
    </row>
    <row r="121" spans="1:9" ht="14.1" customHeight="1">
      <c r="C121" s="254" t="s">
        <v>2545</v>
      </c>
      <c r="E121" s="191"/>
      <c r="G121" s="286"/>
      <c r="H121" s="291"/>
    </row>
    <row r="122" spans="1:9" ht="14.1" customHeight="1">
      <c r="C122" s="254" t="s">
        <v>2541</v>
      </c>
      <c r="E122" s="191"/>
      <c r="G122" s="286"/>
      <c r="H122" s="104" t="str">
        <f>IF(H118=0,"N/A","Answer Required")</f>
        <v>N/A</v>
      </c>
    </row>
    <row r="123" spans="1:9" ht="14.1" customHeight="1">
      <c r="C123" s="254" t="s">
        <v>2540</v>
      </c>
      <c r="E123" s="191"/>
      <c r="G123" s="286"/>
      <c r="H123" s="291"/>
    </row>
    <row r="124" spans="1:9" ht="45" customHeight="1">
      <c r="C124" s="968" t="str">
        <f>IF(H122="Yes","Answer Required","N/A")</f>
        <v>N/A</v>
      </c>
      <c r="D124" s="969"/>
      <c r="E124" s="969"/>
      <c r="F124" s="969"/>
      <c r="G124" s="970"/>
      <c r="H124" s="291"/>
    </row>
    <row r="125" spans="1:9" ht="14.1" customHeight="1">
      <c r="C125" s="257"/>
      <c r="E125" s="191"/>
      <c r="G125" s="286"/>
      <c r="H125" s="291"/>
    </row>
    <row r="126" spans="1:9" ht="14.1" customHeight="1">
      <c r="B126" s="257" t="s">
        <v>191</v>
      </c>
      <c r="C126" s="254" t="s">
        <v>223</v>
      </c>
      <c r="E126" s="191"/>
      <c r="G126" s="286"/>
    </row>
    <row r="127" spans="1:9" ht="14.1" customHeight="1">
      <c r="A127" s="254"/>
      <c r="B127" s="254"/>
      <c r="C127" s="254" t="s">
        <v>226</v>
      </c>
      <c r="E127" s="191"/>
      <c r="G127" s="286"/>
    </row>
    <row r="128" spans="1:9" ht="14.1" customHeight="1">
      <c r="A128" s="254"/>
      <c r="B128" s="254"/>
      <c r="C128" s="254" t="s">
        <v>2544</v>
      </c>
      <c r="E128" s="191"/>
      <c r="G128" s="286"/>
      <c r="H128" s="558"/>
    </row>
    <row r="129" spans="1:9" ht="14.1" customHeight="1">
      <c r="A129" s="254"/>
      <c r="B129" s="254"/>
      <c r="C129" s="257"/>
      <c r="E129" s="191"/>
      <c r="G129" s="286"/>
      <c r="H129" s="304" t="str">
        <f>IF(H128='Tab 1C-Foreign Currency Inv'!BS64,"Agrees","Error")</f>
        <v>Agrees</v>
      </c>
    </row>
    <row r="130" spans="1:9" ht="14.1" customHeight="1">
      <c r="A130" s="254"/>
      <c r="B130" s="254"/>
      <c r="C130" s="257"/>
      <c r="E130" s="191"/>
      <c r="G130" s="286"/>
      <c r="H130" s="289" t="s">
        <v>309</v>
      </c>
      <c r="I130" s="290">
        <f>H128-'Tab 1C-Foreign Currency Inv'!BS64</f>
        <v>0</v>
      </c>
    </row>
    <row r="131" spans="1:9" ht="14.1" customHeight="1">
      <c r="A131" s="254"/>
      <c r="B131" s="257" t="s">
        <v>192</v>
      </c>
      <c r="C131" s="254" t="s">
        <v>815</v>
      </c>
      <c r="D131" s="268"/>
      <c r="E131" s="267"/>
      <c r="F131" s="267"/>
      <c r="G131" s="292"/>
      <c r="H131" s="293"/>
    </row>
    <row r="132" spans="1:9" ht="14.1" customHeight="1">
      <c r="A132" s="254"/>
      <c r="B132" s="269"/>
      <c r="C132" s="254" t="s">
        <v>2771</v>
      </c>
      <c r="D132" s="268"/>
      <c r="E132" s="267"/>
      <c r="F132" s="267"/>
      <c r="G132" s="292"/>
      <c r="H132" s="294" t="str">
        <f>IF(('Fund Financial Stmt Template'!O23)&gt;SUM('Tab 1B-CE &amp; Inv Not W Treas '!R:R)+H22,"Yes","No")</f>
        <v>No</v>
      </c>
    </row>
    <row r="133" spans="1:9" ht="14.1" customHeight="1">
      <c r="A133" s="254"/>
      <c r="B133" s="269"/>
      <c r="C133" s="254" t="s">
        <v>2772</v>
      </c>
      <c r="D133" s="268"/>
      <c r="E133" s="267"/>
      <c r="F133" s="267"/>
      <c r="G133" s="292"/>
      <c r="H133" s="295"/>
    </row>
    <row r="134" spans="1:9" ht="14.1" hidden="1" customHeight="1">
      <c r="A134" s="254"/>
      <c r="B134" s="269"/>
      <c r="C134" s="254"/>
      <c r="D134" s="268"/>
      <c r="E134" s="267"/>
      <c r="F134" s="267"/>
      <c r="G134" s="292"/>
      <c r="H134" s="293"/>
    </row>
    <row r="135" spans="1:9" ht="14.1" hidden="1" customHeight="1">
      <c r="A135" s="254"/>
      <c r="C135" s="254"/>
      <c r="D135" s="268"/>
      <c r="E135" s="267"/>
      <c r="F135" s="267"/>
      <c r="G135" s="292"/>
      <c r="H135" s="293"/>
    </row>
    <row r="136" spans="1:9" ht="14.1" hidden="1" customHeight="1">
      <c r="A136" s="254"/>
      <c r="C136" s="254"/>
      <c r="D136" s="268"/>
      <c r="E136" s="267"/>
      <c r="F136" s="267"/>
      <c r="G136" s="292"/>
    </row>
    <row r="137" spans="1:9" ht="14.1" hidden="1" customHeight="1">
      <c r="A137" s="254"/>
      <c r="B137" s="269"/>
      <c r="C137" s="254"/>
      <c r="D137" s="268"/>
      <c r="E137" s="267"/>
      <c r="F137" s="267"/>
      <c r="G137" s="292"/>
      <c r="H137" s="293"/>
    </row>
    <row r="138" spans="1:9" ht="14.1" customHeight="1">
      <c r="A138" s="254"/>
      <c r="B138" s="269"/>
      <c r="C138" s="254"/>
      <c r="D138" s="268"/>
      <c r="E138" s="267"/>
      <c r="F138" s="267"/>
      <c r="G138" s="292"/>
      <c r="H138" s="293"/>
    </row>
    <row r="139" spans="1:9" ht="14.1" customHeight="1">
      <c r="B139" s="257" t="s">
        <v>193</v>
      </c>
      <c r="C139" s="254" t="s">
        <v>231</v>
      </c>
      <c r="E139" s="191"/>
      <c r="G139" s="286"/>
    </row>
    <row r="140" spans="1:9" ht="14.1" customHeight="1">
      <c r="A140" s="254" t="s">
        <v>135</v>
      </c>
      <c r="B140" s="254"/>
      <c r="C140" s="254" t="s">
        <v>2773</v>
      </c>
      <c r="E140" s="191"/>
      <c r="G140" s="286"/>
      <c r="H140" s="104" t="str">
        <f>IF(H118=0,"N/A","Answer Required")</f>
        <v>N/A</v>
      </c>
    </row>
    <row r="141" spans="1:9" ht="14.1" customHeight="1">
      <c r="A141" s="254" t="s">
        <v>137</v>
      </c>
      <c r="B141" s="254"/>
      <c r="C141" s="254" t="s">
        <v>799</v>
      </c>
      <c r="E141" s="191"/>
      <c r="G141" s="286"/>
    </row>
    <row r="142" spans="1:9" ht="14.1" hidden="1" customHeight="1">
      <c r="C142" s="254"/>
      <c r="D142" s="254"/>
      <c r="E142" s="191"/>
    </row>
    <row r="143" spans="1:9" ht="14.1" customHeight="1">
      <c r="C143" s="252"/>
      <c r="D143" s="254"/>
      <c r="E143" s="191"/>
      <c r="H143" s="296"/>
    </row>
    <row r="144" spans="1:9" ht="30" customHeight="1">
      <c r="C144" s="961" t="s">
        <v>800</v>
      </c>
      <c r="D144" s="961"/>
      <c r="E144" s="961"/>
      <c r="F144" s="430" t="s">
        <v>2774</v>
      </c>
      <c r="G144" s="297" t="s">
        <v>2775</v>
      </c>
    </row>
    <row r="145" spans="1:9" ht="13.5" customHeight="1">
      <c r="C145" s="962" t="str">
        <f>IF(H140="Yes","Answer Required","")</f>
        <v/>
      </c>
      <c r="D145" s="962"/>
      <c r="E145" s="962"/>
      <c r="F145" s="561" t="str">
        <f t="shared" ref="F145:F154" si="4">IF(C145="","","Answer Required")</f>
        <v/>
      </c>
      <c r="G145" s="570" t="str">
        <f>IF(F145="","","Answer Required")</f>
        <v/>
      </c>
    </row>
    <row r="146" spans="1:9" ht="13.5" customHeight="1">
      <c r="C146" s="962"/>
      <c r="D146" s="962"/>
      <c r="E146" s="962"/>
      <c r="F146" s="121" t="str">
        <f t="shared" si="4"/>
        <v/>
      </c>
      <c r="G146" s="571" t="str">
        <f t="shared" ref="G146:G154" si="5">IF(F146="","","Answer Required")</f>
        <v/>
      </c>
    </row>
    <row r="147" spans="1:9" ht="13.5" customHeight="1">
      <c r="C147" s="962"/>
      <c r="D147" s="962"/>
      <c r="E147" s="962"/>
      <c r="F147" s="121" t="str">
        <f t="shared" si="4"/>
        <v/>
      </c>
      <c r="G147" s="571" t="str">
        <f t="shared" si="5"/>
        <v/>
      </c>
    </row>
    <row r="148" spans="1:9" ht="13.5" customHeight="1">
      <c r="C148" s="962"/>
      <c r="D148" s="962"/>
      <c r="E148" s="962"/>
      <c r="F148" s="121" t="str">
        <f t="shared" si="4"/>
        <v/>
      </c>
      <c r="G148" s="571" t="str">
        <f t="shared" si="5"/>
        <v/>
      </c>
    </row>
    <row r="149" spans="1:9" ht="13.5" customHeight="1">
      <c r="C149" s="962"/>
      <c r="D149" s="962"/>
      <c r="E149" s="962"/>
      <c r="F149" s="121" t="str">
        <f t="shared" si="4"/>
        <v/>
      </c>
      <c r="G149" s="571" t="str">
        <f t="shared" si="5"/>
        <v/>
      </c>
    </row>
    <row r="150" spans="1:9" ht="13.5" customHeight="1">
      <c r="C150" s="962"/>
      <c r="D150" s="962"/>
      <c r="E150" s="962"/>
      <c r="F150" s="121" t="str">
        <f t="shared" si="4"/>
        <v/>
      </c>
      <c r="G150" s="571" t="str">
        <f t="shared" si="5"/>
        <v/>
      </c>
    </row>
    <row r="151" spans="1:9" ht="13.5" customHeight="1">
      <c r="C151" s="962"/>
      <c r="D151" s="962"/>
      <c r="E151" s="962"/>
      <c r="F151" s="121" t="str">
        <f t="shared" si="4"/>
        <v/>
      </c>
      <c r="G151" s="571" t="str">
        <f t="shared" si="5"/>
        <v/>
      </c>
    </row>
    <row r="152" spans="1:9" ht="13.5" customHeight="1">
      <c r="C152" s="962"/>
      <c r="D152" s="962"/>
      <c r="E152" s="962"/>
      <c r="F152" s="121" t="str">
        <f t="shared" si="4"/>
        <v/>
      </c>
      <c r="G152" s="571" t="str">
        <f t="shared" si="5"/>
        <v/>
      </c>
    </row>
    <row r="153" spans="1:9" ht="13.5" customHeight="1">
      <c r="C153" s="962"/>
      <c r="D153" s="962"/>
      <c r="E153" s="962"/>
      <c r="F153" s="121" t="str">
        <f t="shared" si="4"/>
        <v/>
      </c>
      <c r="G153" s="571" t="str">
        <f t="shared" si="5"/>
        <v/>
      </c>
      <c r="H153" s="271"/>
      <c r="I153" s="271"/>
    </row>
    <row r="154" spans="1:9" ht="13.5" customHeight="1">
      <c r="C154" s="962"/>
      <c r="D154" s="962"/>
      <c r="E154" s="962"/>
      <c r="F154" s="121" t="str">
        <f t="shared" si="4"/>
        <v/>
      </c>
      <c r="G154" s="571" t="str">
        <f t="shared" si="5"/>
        <v/>
      </c>
      <c r="H154" s="271"/>
      <c r="I154" s="271"/>
    </row>
    <row r="155" spans="1:9" ht="13.5" customHeight="1" thickBot="1">
      <c r="D155" s="191"/>
      <c r="E155" s="191"/>
      <c r="F155" s="298" t="s">
        <v>503</v>
      </c>
      <c r="G155" s="299">
        <f>SUM(G145:G154)</f>
        <v>0</v>
      </c>
      <c r="H155" s="271"/>
      <c r="I155" s="271"/>
    </row>
    <row r="156" spans="1:9" ht="13.5" customHeight="1" thickTop="1">
      <c r="D156" s="191"/>
      <c r="E156" s="191"/>
      <c r="H156" s="271"/>
      <c r="I156" s="271"/>
    </row>
    <row r="157" spans="1:9" ht="13.5" customHeight="1">
      <c r="D157" s="191"/>
      <c r="E157" s="191"/>
      <c r="H157" s="271"/>
      <c r="I157" s="271"/>
    </row>
    <row r="158" spans="1:9" ht="15" hidden="1" customHeight="1">
      <c r="D158" s="191"/>
      <c r="E158" s="191"/>
      <c r="H158" s="271"/>
      <c r="I158" s="271"/>
    </row>
    <row r="159" spans="1:9" ht="15" hidden="1" customHeight="1">
      <c r="A159" s="279"/>
      <c r="B159" s="279"/>
      <c r="C159" s="252"/>
      <c r="D159" s="254"/>
      <c r="E159" s="191"/>
      <c r="H159" s="277"/>
    </row>
    <row r="160" spans="1:9" ht="14.1" customHeight="1">
      <c r="B160" s="257" t="s">
        <v>203</v>
      </c>
      <c r="C160" s="300" t="s">
        <v>269</v>
      </c>
      <c r="D160" s="254"/>
      <c r="E160" s="191"/>
      <c r="H160" s="277"/>
    </row>
    <row r="161" spans="1:8" ht="14.1" customHeight="1">
      <c r="C161" s="254" t="s">
        <v>323</v>
      </c>
      <c r="D161" s="254"/>
      <c r="E161" s="191"/>
      <c r="H161" s="277"/>
    </row>
    <row r="162" spans="1:8" ht="14.1" customHeight="1">
      <c r="C162" s="254" t="s">
        <v>138</v>
      </c>
      <c r="D162" s="254"/>
      <c r="E162" s="191"/>
      <c r="H162" s="277"/>
    </row>
    <row r="163" spans="1:8" ht="14.1" customHeight="1">
      <c r="C163" s="978"/>
      <c r="D163" s="979"/>
      <c r="E163" s="979"/>
      <c r="F163" s="979"/>
      <c r="G163" s="979"/>
      <c r="H163" s="980"/>
    </row>
    <row r="164" spans="1:8" ht="14.1" customHeight="1">
      <c r="C164" s="981"/>
      <c r="D164" s="982"/>
      <c r="E164" s="982"/>
      <c r="F164" s="982"/>
      <c r="G164" s="982"/>
      <c r="H164" s="983"/>
    </row>
    <row r="165" spans="1:8" ht="14.1" customHeight="1">
      <c r="C165" s="981"/>
      <c r="D165" s="982"/>
      <c r="E165" s="982"/>
      <c r="F165" s="982"/>
      <c r="G165" s="982"/>
      <c r="H165" s="983"/>
    </row>
    <row r="166" spans="1:8" ht="14.1" customHeight="1">
      <c r="C166" s="981"/>
      <c r="D166" s="982"/>
      <c r="E166" s="982"/>
      <c r="F166" s="982"/>
      <c r="G166" s="982"/>
      <c r="H166" s="983"/>
    </row>
    <row r="167" spans="1:8" ht="14.1" customHeight="1">
      <c r="C167" s="981"/>
      <c r="D167" s="982"/>
      <c r="E167" s="982"/>
      <c r="F167" s="982"/>
      <c r="G167" s="982"/>
      <c r="H167" s="983"/>
    </row>
    <row r="168" spans="1:8" ht="14.1" customHeight="1">
      <c r="C168" s="981"/>
      <c r="D168" s="982"/>
      <c r="E168" s="982"/>
      <c r="F168" s="982"/>
      <c r="G168" s="982"/>
      <c r="H168" s="983"/>
    </row>
    <row r="169" spans="1:8" ht="14.1" customHeight="1">
      <c r="C169" s="981"/>
      <c r="D169" s="982"/>
      <c r="E169" s="982"/>
      <c r="F169" s="982"/>
      <c r="G169" s="982"/>
      <c r="H169" s="983"/>
    </row>
    <row r="170" spans="1:8" ht="14.1" customHeight="1">
      <c r="C170" s="981"/>
      <c r="D170" s="982"/>
      <c r="E170" s="982"/>
      <c r="F170" s="982"/>
      <c r="G170" s="982"/>
      <c r="H170" s="983"/>
    </row>
    <row r="171" spans="1:8" ht="14.1" customHeight="1">
      <c r="C171" s="984"/>
      <c r="D171" s="985"/>
      <c r="E171" s="985"/>
      <c r="F171" s="985"/>
      <c r="G171" s="985"/>
      <c r="H171" s="986"/>
    </row>
    <row r="172" spans="1:8" ht="14.1" customHeight="1">
      <c r="A172" s="279"/>
      <c r="B172" s="279"/>
      <c r="C172" s="252"/>
      <c r="D172" s="254"/>
      <c r="E172" s="191"/>
      <c r="H172" s="301"/>
    </row>
    <row r="173" spans="1:8" ht="60" customHeight="1">
      <c r="B173" s="302" t="s">
        <v>322</v>
      </c>
      <c r="C173" s="987" t="s">
        <v>2848</v>
      </c>
      <c r="D173" s="987"/>
      <c r="E173" s="987"/>
      <c r="F173" s="987"/>
      <c r="G173" s="987"/>
      <c r="H173" s="987"/>
    </row>
    <row r="174" spans="1:8" ht="14.1" hidden="1" customHeight="1">
      <c r="A174" s="257"/>
      <c r="B174" s="257"/>
      <c r="C174" s="254"/>
      <c r="E174" s="191"/>
      <c r="G174" s="286"/>
    </row>
    <row r="175" spans="1:8" ht="14.1" hidden="1" customHeight="1">
      <c r="A175" s="257"/>
      <c r="B175" s="257"/>
      <c r="C175" s="254"/>
      <c r="E175" s="191"/>
      <c r="G175" s="286"/>
    </row>
    <row r="176" spans="1:8" ht="14.1" customHeight="1">
      <c r="A176" s="257"/>
      <c r="B176" s="257"/>
      <c r="C176" s="978"/>
      <c r="D176" s="979"/>
      <c r="E176" s="979"/>
      <c r="F176" s="979"/>
      <c r="G176" s="979"/>
      <c r="H176" s="980"/>
    </row>
    <row r="177" spans="1:8" ht="14.1" customHeight="1">
      <c r="A177" s="257"/>
      <c r="B177" s="257"/>
      <c r="C177" s="981"/>
      <c r="D177" s="982"/>
      <c r="E177" s="982"/>
      <c r="F177" s="982"/>
      <c r="G177" s="982"/>
      <c r="H177" s="983"/>
    </row>
    <row r="178" spans="1:8" ht="14.1" customHeight="1">
      <c r="A178" s="257"/>
      <c r="B178" s="257"/>
      <c r="C178" s="981"/>
      <c r="D178" s="982"/>
      <c r="E178" s="982"/>
      <c r="F178" s="982"/>
      <c r="G178" s="982"/>
      <c r="H178" s="983"/>
    </row>
    <row r="179" spans="1:8" ht="14.1" customHeight="1">
      <c r="A179" s="257"/>
      <c r="B179" s="257"/>
      <c r="C179" s="981"/>
      <c r="D179" s="982"/>
      <c r="E179" s="982"/>
      <c r="F179" s="982"/>
      <c r="G179" s="982"/>
      <c r="H179" s="983"/>
    </row>
    <row r="180" spans="1:8" ht="14.1" customHeight="1">
      <c r="A180" s="257"/>
      <c r="B180" s="257"/>
      <c r="C180" s="981"/>
      <c r="D180" s="982"/>
      <c r="E180" s="982"/>
      <c r="F180" s="982"/>
      <c r="G180" s="982"/>
      <c r="H180" s="983"/>
    </row>
    <row r="181" spans="1:8" ht="14.1" customHeight="1">
      <c r="A181" s="257"/>
      <c r="B181" s="257"/>
      <c r="C181" s="984"/>
      <c r="D181" s="985"/>
      <c r="E181" s="985"/>
      <c r="F181" s="985"/>
      <c r="G181" s="985"/>
      <c r="H181" s="986"/>
    </row>
    <row r="182" spans="1:8" ht="14.1" customHeight="1">
      <c r="A182" s="257"/>
      <c r="B182" s="257"/>
      <c r="C182" s="257"/>
      <c r="E182" s="191"/>
      <c r="G182" s="286"/>
    </row>
    <row r="183" spans="1:8" ht="13.5" customHeight="1">
      <c r="A183" s="257"/>
      <c r="B183" s="257"/>
      <c r="C183" s="257"/>
      <c r="E183" s="191"/>
      <c r="G183" s="286"/>
    </row>
    <row r="184" spans="1:8" ht="13.5" customHeight="1">
      <c r="A184" s="257"/>
      <c r="B184" s="257"/>
      <c r="C184" s="254"/>
      <c r="D184" s="254"/>
      <c r="F184" s="254"/>
      <c r="G184" s="303"/>
    </row>
    <row r="185" spans="1:8" ht="13.5" customHeight="1">
      <c r="A185" s="257"/>
      <c r="B185" s="257"/>
      <c r="C185" s="257"/>
      <c r="E185" s="191"/>
      <c r="G185" s="286"/>
    </row>
    <row r="186" spans="1:8" ht="13.5" customHeight="1">
      <c r="A186" s="257"/>
      <c r="B186" s="257"/>
      <c r="C186" s="257"/>
      <c r="E186" s="191"/>
      <c r="G186" s="286"/>
    </row>
    <row r="187" spans="1:8" ht="13.5" customHeight="1">
      <c r="A187" s="257"/>
      <c r="B187" s="257"/>
      <c r="C187" s="257"/>
      <c r="E187" s="191"/>
      <c r="G187" s="286"/>
    </row>
    <row r="188" spans="1:8" ht="14.1" customHeight="1">
      <c r="A188" s="257"/>
      <c r="B188" s="257"/>
      <c r="C188" s="257"/>
      <c r="E188" s="191"/>
      <c r="G188" s="286"/>
    </row>
    <row r="189" spans="1:8" ht="14.1" customHeight="1">
      <c r="A189" s="257"/>
      <c r="B189" s="257"/>
      <c r="C189" s="257"/>
      <c r="E189" s="191"/>
      <c r="G189" s="286"/>
    </row>
    <row r="190" spans="1:8" ht="14.1" customHeight="1">
      <c r="A190" s="257"/>
      <c r="B190" s="257"/>
      <c r="C190" s="257"/>
      <c r="E190" s="191"/>
      <c r="G190" s="286"/>
    </row>
    <row r="191" spans="1:8" ht="14.1" customHeight="1">
      <c r="A191" s="257"/>
      <c r="B191" s="257"/>
      <c r="C191" s="257"/>
      <c r="E191" s="191"/>
      <c r="G191" s="286"/>
    </row>
    <row r="192" spans="1:8" ht="14.1" customHeight="1">
      <c r="A192" s="257"/>
      <c r="B192" s="257"/>
      <c r="C192" s="257"/>
      <c r="E192" s="191"/>
      <c r="G192" s="286"/>
    </row>
    <row r="193" spans="1:7" ht="14.1" customHeight="1">
      <c r="A193" s="257"/>
      <c r="B193" s="257"/>
      <c r="C193" s="257"/>
      <c r="E193" s="191"/>
      <c r="G193" s="286"/>
    </row>
    <row r="194" spans="1:7" ht="14.1" customHeight="1">
      <c r="A194" s="257"/>
      <c r="B194" s="257"/>
      <c r="C194" s="257"/>
      <c r="E194" s="191"/>
      <c r="G194" s="286"/>
    </row>
    <row r="195" spans="1:7" ht="14.1" customHeight="1">
      <c r="A195" s="257"/>
      <c r="B195" s="257"/>
      <c r="C195" s="257"/>
      <c r="E195" s="191"/>
      <c r="G195" s="286"/>
    </row>
    <row r="196" spans="1:7" ht="14.1" customHeight="1">
      <c r="A196" s="257"/>
      <c r="B196" s="257"/>
      <c r="C196" s="257"/>
      <c r="E196" s="191"/>
      <c r="G196" s="286"/>
    </row>
    <row r="197" spans="1:7" ht="14.1" hidden="1" customHeight="1">
      <c r="A197" s="191" t="s">
        <v>507</v>
      </c>
    </row>
    <row r="198" spans="1:7" ht="14.1" hidden="1" customHeight="1">
      <c r="A198" s="191" t="s">
        <v>417</v>
      </c>
    </row>
    <row r="199" spans="1:7" ht="14.1" hidden="1" customHeight="1">
      <c r="A199" s="191" t="s">
        <v>47</v>
      </c>
    </row>
    <row r="200" spans="1:7" ht="14.1" hidden="1" customHeight="1"/>
    <row r="201" spans="1:7" ht="14.1" hidden="1" customHeight="1">
      <c r="A201" s="191" t="s">
        <v>224</v>
      </c>
    </row>
    <row r="202" spans="1:7" ht="14.1" hidden="1" customHeight="1">
      <c r="A202" s="191" t="s">
        <v>47</v>
      </c>
    </row>
    <row r="203" spans="1:7" ht="14.1" hidden="1" customHeight="1"/>
    <row r="204" spans="1:7" ht="14.1" hidden="1" customHeight="1">
      <c r="A204" s="489" t="s">
        <v>2776</v>
      </c>
    </row>
    <row r="205" spans="1:7" ht="14.1" hidden="1" customHeight="1">
      <c r="A205" s="489" t="s">
        <v>2777</v>
      </c>
    </row>
    <row r="206" spans="1:7" ht="14.1" hidden="1" customHeight="1">
      <c r="A206" s="489" t="s">
        <v>2778</v>
      </c>
    </row>
    <row r="207" spans="1:7" ht="14.1" hidden="1" customHeight="1">
      <c r="A207" s="489" t="s">
        <v>2779</v>
      </c>
    </row>
    <row r="208" spans="1:7" ht="14.1" hidden="1" customHeight="1">
      <c r="A208" s="489" t="s">
        <v>2780</v>
      </c>
    </row>
    <row r="209" spans="1:1" ht="14.1" hidden="1" customHeight="1">
      <c r="A209" s="489" t="s">
        <v>2781</v>
      </c>
    </row>
    <row r="210" spans="1:1" ht="14.1" hidden="1" customHeight="1">
      <c r="A210" s="489" t="s">
        <v>2782</v>
      </c>
    </row>
    <row r="211" spans="1:1" ht="14.1" hidden="1" customHeight="1">
      <c r="A211" s="489" t="s">
        <v>2783</v>
      </c>
    </row>
    <row r="212" spans="1:1" ht="14.1" hidden="1" customHeight="1">
      <c r="A212" s="489" t="s">
        <v>2784</v>
      </c>
    </row>
    <row r="213" spans="1:1" ht="14.1" hidden="1" customHeight="1">
      <c r="A213" s="489" t="s">
        <v>2785</v>
      </c>
    </row>
    <row r="214" spans="1:1" ht="14.1" hidden="1" customHeight="1">
      <c r="A214" s="489" t="s">
        <v>2786</v>
      </c>
    </row>
    <row r="215" spans="1:1" ht="14.1" hidden="1" customHeight="1">
      <c r="A215" s="489" t="s">
        <v>2787</v>
      </c>
    </row>
    <row r="216" spans="1:1" ht="14.1" hidden="1" customHeight="1">
      <c r="A216" s="489" t="s">
        <v>2788</v>
      </c>
    </row>
    <row r="217" spans="1:1" ht="14.1" hidden="1" customHeight="1">
      <c r="A217" s="489" t="s">
        <v>2885</v>
      </c>
    </row>
    <row r="218" spans="1:1" ht="14.1" hidden="1" customHeight="1">
      <c r="A218" s="489" t="s">
        <v>2789</v>
      </c>
    </row>
    <row r="219" spans="1:1" ht="14.1" hidden="1" customHeight="1">
      <c r="A219" s="489" t="s">
        <v>2790</v>
      </c>
    </row>
    <row r="220" spans="1:1" ht="14.1" hidden="1" customHeight="1">
      <c r="A220" s="489" t="s">
        <v>2791</v>
      </c>
    </row>
    <row r="221" spans="1:1" ht="14.1" hidden="1" customHeight="1">
      <c r="A221" s="489" t="s">
        <v>2792</v>
      </c>
    </row>
    <row r="222" spans="1:1" ht="14.1" hidden="1" customHeight="1">
      <c r="A222" s="489" t="s">
        <v>2884</v>
      </c>
    </row>
    <row r="223" spans="1:1" ht="14.1" hidden="1" customHeight="1">
      <c r="A223" s="489" t="s">
        <v>2793</v>
      </c>
    </row>
    <row r="224" spans="1:1" ht="14.1" hidden="1" customHeight="1">
      <c r="A224" s="489" t="s">
        <v>2794</v>
      </c>
    </row>
    <row r="225" ht="14.1" hidden="1" customHeight="1"/>
    <row r="226" ht="14.1" hidden="1" customHeight="1"/>
  </sheetData>
  <sheetProtection algorithmName="SHA-512" hashValue="vKr/jWN7OdMCYyHxQIkaQWhLi/5wYO0IP8dfluA442Y4u3NjqgjPCu9xHOdSa5//uh6vjYIMgSYFMaahgpg8QQ==" saltValue="pzVCKSQTRr6XjTJL7zt3pw==" spinCount="100000" sheet="1" objects="1" scenarios="1"/>
  <dataConsolidate/>
  <customSheetViews>
    <customSheetView guid="{354F272F-821B-473B-9CC5-4001AD879606}" hiddenRows="1">
      <selection activeCell="F31" sqref="F31"/>
      <rowBreaks count="1" manualBreakCount="1">
        <brk id="94" max="16383" man="1"/>
      </rowBreaks>
      <pageMargins left="0.25" right="0.25" top="0.61" bottom="1" header="0.21" footer="0.25"/>
      <pageSetup scale="45" fitToHeight="2" orientation="portrait" cellComments="asDisplayed" r:id="rId1"/>
      <headerFooter alignWithMargins="0">
        <oddHeader xml:space="preserve">&amp;C&amp;"Times New Roman,Bold"&amp;9Attachment 9
Governmental Fund Financial Statement Template
&amp;A&amp;"Arial,Regular"&amp;10
</oddHeader>
        <oddFooter>&amp;L&amp;"Times New Roman,Regular"&amp;F \  &amp;A&amp;R&amp;"Times New Roman,Regular"Page &amp;P</oddFooter>
      </headerFooter>
    </customSheetView>
  </customSheetViews>
  <mergeCells count="30">
    <mergeCell ref="C146:E146"/>
    <mergeCell ref="C147:E147"/>
    <mergeCell ref="C148:E148"/>
    <mergeCell ref="C163:H171"/>
    <mergeCell ref="C176:H181"/>
    <mergeCell ref="C154:E154"/>
    <mergeCell ref="C149:E149"/>
    <mergeCell ref="C150:E150"/>
    <mergeCell ref="C151:E151"/>
    <mergeCell ref="C152:E152"/>
    <mergeCell ref="C153:E153"/>
    <mergeCell ref="C173:H173"/>
    <mergeCell ref="A1:C1"/>
    <mergeCell ref="A4:C4"/>
    <mergeCell ref="A5:C5"/>
    <mergeCell ref="A6:C6"/>
    <mergeCell ref="A7:C7"/>
    <mergeCell ref="D7:F7"/>
    <mergeCell ref="D1:F1"/>
    <mergeCell ref="D4:F4"/>
    <mergeCell ref="D5:F5"/>
    <mergeCell ref="D6:F6"/>
    <mergeCell ref="C144:E144"/>
    <mergeCell ref="C145:E145"/>
    <mergeCell ref="A8:C8"/>
    <mergeCell ref="A9:C9"/>
    <mergeCell ref="D8:F8"/>
    <mergeCell ref="D9:F9"/>
    <mergeCell ref="C124:G124"/>
    <mergeCell ref="G52:H52"/>
  </mergeCells>
  <phoneticPr fontId="40" type="noConversion"/>
  <conditionalFormatting sqref="C145:C154">
    <cfRule type="containsText" dxfId="114" priority="10" operator="containsText" text="Answer Required">
      <formula>NOT(ISERROR(SEARCH("Answer Required",C145)))</formula>
    </cfRule>
  </conditionalFormatting>
  <conditionalFormatting sqref="C124:G124">
    <cfRule type="containsText" dxfId="113" priority="32" operator="containsText" text="Answer Required">
      <formula>NOT(ISERROR(SEARCH("Answer Required",C124)))</formula>
    </cfRule>
  </conditionalFormatting>
  <conditionalFormatting sqref="F145:G154">
    <cfRule type="containsText" dxfId="112" priority="21" operator="containsText" text="Answer Required">
      <formula>NOT(ISERROR(SEARCH("Answer Required",F145)))</formula>
    </cfRule>
  </conditionalFormatting>
  <conditionalFormatting sqref="G17">
    <cfRule type="containsText" dxfId="111" priority="5" operator="containsText" text="Answer Required">
      <formula>NOT(ISERROR(SEARCH("Answer Required",G17)))</formula>
    </cfRule>
  </conditionalFormatting>
  <conditionalFormatting sqref="G145:G154">
    <cfRule type="cellIs" dxfId="110" priority="22" operator="equal">
      <formula>"Answer Required"</formula>
    </cfRule>
  </conditionalFormatting>
  <conditionalFormatting sqref="H14">
    <cfRule type="containsText" dxfId="109" priority="4" operator="containsText" text="Answer Required">
      <formula>NOT(ISERROR(SEARCH("Answer Required",H14)))</formula>
    </cfRule>
  </conditionalFormatting>
  <conditionalFormatting sqref="H18">
    <cfRule type="containsText" dxfId="108" priority="30" operator="containsText" text="Answer Required">
      <formula>NOT(ISERROR(SEARCH("Answer Required",H18)))</formula>
    </cfRule>
  </conditionalFormatting>
  <conditionalFormatting sqref="H46">
    <cfRule type="containsText" dxfId="107" priority="34" operator="containsText" text="Answer Required">
      <formula>NOT(ISERROR(SEARCH("Answer Required",H46)))</formula>
    </cfRule>
  </conditionalFormatting>
  <conditionalFormatting sqref="H122">
    <cfRule type="cellIs" dxfId="106" priority="33" operator="equal">
      <formula>"Answer Required"</formula>
    </cfRule>
  </conditionalFormatting>
  <conditionalFormatting sqref="H140">
    <cfRule type="cellIs" dxfId="105" priority="38" operator="equal">
      <formula>"Answer Required"</formula>
    </cfRule>
  </conditionalFormatting>
  <conditionalFormatting sqref="H103:I112">
    <cfRule type="cellIs" dxfId="104" priority="23" operator="equal">
      <formula>"Answer Required"</formula>
    </cfRule>
  </conditionalFormatting>
  <conditionalFormatting sqref="I17">
    <cfRule type="cellIs" dxfId="103" priority="3" operator="equal">
      <formula>"Answer Required"</formula>
    </cfRule>
  </conditionalFormatting>
  <conditionalFormatting sqref="I30">
    <cfRule type="cellIs" dxfId="102" priority="2" operator="equal">
      <formula>"Answer Required"</formula>
    </cfRule>
  </conditionalFormatting>
  <conditionalFormatting sqref="I54:J91">
    <cfRule type="cellIs" dxfId="101" priority="19" operator="equal">
      <formula>"Answer Required"</formula>
    </cfRule>
  </conditionalFormatting>
  <dataValidations xWindow="659" yWindow="294" count="13">
    <dataValidation allowBlank="1" showInputMessage="1" showErrorMessage="1" errorTitle="Enter Whole Number" error="The agency did not enter a whole number, please round the amount.  Enter a whole number ONLY." promptTitle="Enter a whole number" sqref="H159 H43:H44" xr:uid="{00000000-0002-0000-0700-000000000000}"/>
    <dataValidation type="whole" allowBlank="1" showInputMessage="1" showErrorMessage="1" errorTitle="Enter Whole Number" error="The agency did not enter a whole number, please round the amount.  Enter a whole number ONLY." promptTitle="Enter a whole number" sqref="H160:H162 I45:I46" xr:uid="{00000000-0002-0000-0700-000001000000}">
      <formula1>-9999999999</formula1>
      <formula2>9999999999</formula2>
    </dataValidation>
    <dataValidation type="whole" allowBlank="1" showInputMessage="1" showErrorMessage="1" errorTitle="Enter Whole Number" error="Please enter a whole number." promptTitle="Enter a whole number" sqref="J38:J40 I33 I13:I14 H13 H16:I16 I18:I19" xr:uid="{00000000-0002-0000-0700-000002000000}">
      <formula1>-9999999999999</formula1>
      <formula2>9999999999999</formula2>
    </dataValidation>
    <dataValidation type="whole" allowBlank="1" showInputMessage="1" showErrorMessage="1" errorTitle="Enter Whole Number" error="Please enter a whole number._x000a_" promptTitle="Enter a whole number" sqref="H118 H128" xr:uid="{00000000-0002-0000-0700-000003000000}">
      <formula1>-99999999999999</formula1>
      <formula2>999999999999999</formula2>
    </dataValidation>
    <dataValidation type="whole" allowBlank="1" showInputMessage="1" showErrorMessage="1" errorTitle="Enter Whole Number" error="Enter a whole number." promptTitle="Enter a whole number" sqref="H30 H25 G103:G112 H33 H38:H40 H22:H23 G54:H91 H17" xr:uid="{00000000-0002-0000-0700-000004000000}">
      <formula1>-9999999999999</formula1>
      <formula2>9999999999999</formula2>
    </dataValidation>
    <dataValidation allowBlank="1" showInputMessage="1" showErrorMessage="1" errorTitle="Enter Whole Number" promptTitle="Enter a whole number" sqref="I42" xr:uid="{00000000-0002-0000-0700-000005000000}"/>
    <dataValidation type="date" allowBlank="1" showInputMessage="1" showErrorMessage="1" error="Enter a date between 6/1/04 and 12/15/04." sqref="C10:E11" xr:uid="{00000000-0002-0000-0700-000006000000}">
      <formula1>38139</formula1>
      <formula2>38336</formula2>
    </dataValidation>
    <dataValidation type="whole" allowBlank="1" showInputMessage="1" showErrorMessage="1" error="Please enter a whole number" sqref="H24" xr:uid="{00000000-0002-0000-0700-000007000000}">
      <formula1>-99999999999999900000</formula1>
      <formula2>99999999999999900</formula2>
    </dataValidation>
    <dataValidation type="whole" allowBlank="1" showInputMessage="1" showErrorMessage="1" error="Enter a Cardinal fund number between 01000 and 99999." sqref="E54:E91 E103:E112" xr:uid="{00000000-0002-0000-0700-000008000000}">
      <formula1>1000</formula1>
      <formula2>99999</formula2>
    </dataValidation>
    <dataValidation type="list" allowBlank="1" showInputMessage="1" showErrorMessage="1" error="Use the drop-down list to enter yes or no." sqref="H103:H112 I54:I91" xr:uid="{00000000-0002-0000-0700-000009000000}">
      <formula1>$A$197:$A$198</formula1>
    </dataValidation>
    <dataValidation type="whole" allowBlank="1" showInputMessage="1" showErrorMessage="1" errorTitle="Enter Whole Number" error="Please enter a whole number." promptTitle="Enter Whole Number" sqref="G145:G154" xr:uid="{00000000-0002-0000-0700-00000A000000}">
      <formula1>-9999999999999</formula1>
      <formula2>9999999999999</formula2>
    </dataValidation>
    <dataValidation type="whole" allowBlank="1" showInputMessage="1" showErrorMessage="1" errorTitle="Agency Codes" error="Entry should reference a valid agency code; please enter a whole number between 100 and 999." sqref="D1:F1" xr:uid="{00000000-0002-0000-0700-00000B000000}">
      <formula1>100</formula1>
      <formula2>999</formula2>
    </dataValidation>
    <dataValidation type="list" allowBlank="1" showInputMessage="1" showErrorMessage="1" error="Please use the drop-down list to select Yes or No." sqref="H122 H140" xr:uid="{00000000-0002-0000-0700-00000C000000}">
      <formula1>$A$197:$A$198</formula1>
    </dataValidation>
  </dataValidations>
  <pageMargins left="0.25" right="0.25" top="0.61" bottom="1" header="0.21" footer="0.25"/>
  <pageSetup scale="45" fitToHeight="2" orientation="portrait" cellComments="asDisplayed" r:id="rId2"/>
  <headerFooter alignWithMargins="0">
    <oddHeader xml:space="preserve">&amp;C&amp;"Times New Roman,Bold"&amp;9Attachment 9
Governmental Fund Financial Statement Template
&amp;A&amp;"Arial,Regular"&amp;10
</oddHeader>
    <oddFooter>&amp;L&amp;"Times New Roman,Regular"&amp;F \  &amp;A&amp;R&amp;"Times New Roman,Regular"Page &amp;P</oddFooter>
  </headerFooter>
  <rowBreaks count="1" manualBreakCount="1">
    <brk id="94" max="16383" man="1"/>
  </rowBreaks>
  <ignoredErrors>
    <ignoredError sqref="H46 H18 I54:I91 J54:J91 H14 C145:G154" unlockedFormula="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71"/>
  <sheetViews>
    <sheetView showGridLines="0" zoomScaleNormal="100" zoomScaleSheetLayoutView="63" workbookViewId="0">
      <selection activeCell="B11" sqref="B11"/>
    </sheetView>
  </sheetViews>
  <sheetFormatPr defaultColWidth="9.140625" defaultRowHeight="12.75" customHeight="1"/>
  <cols>
    <col min="1" max="1" width="10.7109375" customWidth="1"/>
    <col min="2" max="2" width="60.7109375" customWidth="1"/>
    <col min="3" max="3" width="40.7109375" customWidth="1"/>
    <col min="4" max="4" width="19.42578125" bestFit="1" customWidth="1"/>
    <col min="5" max="5" width="19" customWidth="1"/>
    <col min="6" max="12" width="17.7109375" customWidth="1"/>
    <col min="13" max="13" width="18.42578125" customWidth="1"/>
    <col min="14" max="15" width="17.7109375" customWidth="1"/>
    <col min="16" max="16" width="20.7109375" customWidth="1"/>
    <col min="17" max="17" width="15.140625" style="640" customWidth="1"/>
    <col min="18" max="18" width="19.28515625" customWidth="1"/>
    <col min="19" max="22" width="18.7109375" customWidth="1"/>
    <col min="23" max="23" width="20.140625" customWidth="1"/>
    <col min="24" max="24" width="18.7109375" customWidth="1"/>
    <col min="25" max="25" width="20.7109375" customWidth="1"/>
    <col min="26" max="26" width="15.140625" customWidth="1"/>
    <col min="27" max="31" width="18.7109375" customWidth="1"/>
    <col min="32" max="32" width="20.7109375" customWidth="1"/>
    <col min="33" max="33" width="14.28515625" customWidth="1"/>
    <col min="34" max="34" width="12.140625" customWidth="1"/>
    <col min="35" max="35" width="15.7109375" customWidth="1"/>
  </cols>
  <sheetData>
    <row r="1" spans="1:35" ht="15">
      <c r="A1" s="372" t="s">
        <v>399</v>
      </c>
      <c r="B1" s="635"/>
      <c r="C1" s="963" t="str">
        <f>IF('Fund Financial Stmt Template'!E1="","",'Fund Financial Stmt Template'!E1)</f>
        <v/>
      </c>
      <c r="D1" s="963"/>
      <c r="E1" s="963"/>
      <c r="F1" s="491"/>
      <c r="G1" s="491"/>
      <c r="H1" s="491"/>
      <c r="I1" s="491"/>
      <c r="J1" s="490"/>
      <c r="K1" s="490"/>
      <c r="L1" s="490"/>
      <c r="M1" s="490"/>
      <c r="N1" s="490"/>
      <c r="O1" s="490"/>
      <c r="P1" s="490"/>
      <c r="R1" s="490"/>
      <c r="S1" s="490"/>
      <c r="T1" s="490"/>
      <c r="U1" s="490"/>
      <c r="V1" s="490"/>
      <c r="W1" s="490"/>
      <c r="X1" s="490"/>
      <c r="Y1" s="490"/>
      <c r="Z1" s="490"/>
      <c r="AA1" s="490"/>
      <c r="AB1" s="490"/>
      <c r="AC1" s="490"/>
      <c r="AD1" s="490"/>
      <c r="AE1" s="490"/>
      <c r="AF1" s="490"/>
      <c r="AG1" s="490"/>
      <c r="AH1" s="490"/>
      <c r="AI1" s="490"/>
    </row>
    <row r="2" spans="1:35" ht="54.75" hidden="1" customHeight="1">
      <c r="A2" s="636"/>
      <c r="B2" s="232"/>
      <c r="C2" s="637"/>
      <c r="D2" s="372"/>
      <c r="E2" s="372"/>
      <c r="F2" s="491"/>
      <c r="G2" s="491"/>
      <c r="H2" s="491"/>
      <c r="I2" s="491"/>
      <c r="J2" s="491"/>
      <c r="K2" s="491"/>
      <c r="L2" s="491"/>
      <c r="M2" s="491"/>
      <c r="N2" s="491"/>
      <c r="O2" s="490"/>
      <c r="P2" s="490"/>
      <c r="R2" s="490"/>
      <c r="S2" s="490"/>
      <c r="T2" s="490"/>
      <c r="U2" s="490"/>
      <c r="V2" s="490"/>
      <c r="W2" s="490"/>
      <c r="X2" s="490"/>
      <c r="Y2" s="490"/>
      <c r="Z2" s="490"/>
      <c r="AA2" s="490"/>
      <c r="AB2" s="490"/>
      <c r="AC2" s="490"/>
      <c r="AD2" s="490"/>
      <c r="AE2" s="490"/>
      <c r="AF2" s="490"/>
      <c r="AG2" s="490"/>
      <c r="AH2" s="490"/>
      <c r="AI2" s="490"/>
    </row>
    <row r="3" spans="1:35" ht="27" customHeight="1">
      <c r="A3" s="372" t="s">
        <v>362</v>
      </c>
      <c r="B3" s="635"/>
      <c r="C3" s="998" t="str">
        <f>'Fund Financial Stmt Template'!E2</f>
        <v/>
      </c>
      <c r="D3" s="998"/>
      <c r="E3" s="998"/>
      <c r="F3" s="491"/>
      <c r="G3" s="491"/>
      <c r="H3" s="491"/>
      <c r="I3" s="491"/>
      <c r="J3" s="491"/>
      <c r="K3" s="491"/>
      <c r="L3" s="491"/>
      <c r="M3" s="491"/>
      <c r="N3" s="491"/>
      <c r="O3" s="490"/>
      <c r="P3" s="490"/>
      <c r="R3" s="490"/>
      <c r="S3" s="490"/>
      <c r="T3" s="490"/>
      <c r="U3" s="490"/>
      <c r="V3" s="490"/>
      <c r="W3" s="490"/>
      <c r="X3" s="490"/>
      <c r="Y3" s="490"/>
      <c r="Z3" s="490"/>
      <c r="AA3" s="490"/>
      <c r="AB3" s="490"/>
      <c r="AC3" s="490"/>
      <c r="AD3" s="490"/>
      <c r="AE3" s="490"/>
      <c r="AF3" s="490"/>
      <c r="AG3" s="490"/>
      <c r="AH3" s="490"/>
      <c r="AI3" s="490"/>
    </row>
    <row r="4" spans="1:35" ht="27" customHeight="1">
      <c r="A4" s="372" t="s">
        <v>419</v>
      </c>
      <c r="B4" s="635"/>
      <c r="C4" s="999" t="str">
        <f>IF('Fund Financial Stmt Template'!E3="","",'Fund Financial Stmt Template'!E3)</f>
        <v/>
      </c>
      <c r="D4" s="999"/>
      <c r="E4" s="999"/>
      <c r="F4" s="491"/>
      <c r="G4" s="491"/>
      <c r="H4" s="491"/>
      <c r="I4" s="491"/>
      <c r="J4" s="491"/>
      <c r="K4" s="491"/>
      <c r="L4" s="491"/>
      <c r="M4" s="491"/>
      <c r="N4" s="491"/>
      <c r="O4" s="490"/>
      <c r="P4" s="490"/>
      <c r="R4" s="490"/>
      <c r="S4" s="490"/>
      <c r="T4" s="490"/>
      <c r="U4" s="490"/>
      <c r="V4" s="490"/>
      <c r="W4" s="490"/>
      <c r="X4" s="490"/>
      <c r="Y4" s="490"/>
      <c r="Z4" s="490"/>
      <c r="AA4" s="490"/>
      <c r="AB4" s="490"/>
      <c r="AC4" s="490"/>
      <c r="AD4" s="490"/>
      <c r="AE4" s="490"/>
      <c r="AF4" s="490"/>
      <c r="AG4" s="490"/>
      <c r="AH4" s="490"/>
      <c r="AI4" s="490"/>
    </row>
    <row r="5" spans="1:35" ht="27" customHeight="1">
      <c r="A5" s="372" t="s">
        <v>420</v>
      </c>
      <c r="B5" s="635"/>
      <c r="C5" s="1000" t="str">
        <f>IF('Fund Financial Stmt Template'!E4="","",'Fund Financial Stmt Template'!E4)</f>
        <v/>
      </c>
      <c r="D5" s="1000"/>
      <c r="E5" s="1000"/>
      <c r="F5" s="491"/>
      <c r="G5" s="491"/>
      <c r="H5" s="491"/>
      <c r="I5" s="491"/>
      <c r="J5" s="491"/>
      <c r="K5" s="491"/>
      <c r="L5" s="491"/>
      <c r="M5" s="491"/>
      <c r="N5" s="491"/>
      <c r="O5" s="490"/>
      <c r="P5" s="490"/>
      <c r="Q5" s="502"/>
      <c r="R5" s="490"/>
      <c r="S5" s="490"/>
      <c r="T5" s="490"/>
      <c r="U5" s="490"/>
      <c r="V5" s="490"/>
      <c r="W5" s="490"/>
      <c r="X5" s="490"/>
      <c r="Y5" s="490"/>
      <c r="Z5" s="490"/>
      <c r="AA5" s="490"/>
      <c r="AB5" s="490"/>
      <c r="AC5" s="490"/>
      <c r="AD5" s="490"/>
      <c r="AE5" s="490"/>
      <c r="AF5" s="490"/>
      <c r="AG5" s="490"/>
      <c r="AH5" s="490"/>
      <c r="AI5" s="490"/>
    </row>
    <row r="6" spans="1:35" ht="24" customHeight="1">
      <c r="A6" s="372" t="s">
        <v>421</v>
      </c>
      <c r="B6" s="635"/>
      <c r="C6" s="1001" t="str">
        <f>IF('Fund Financial Stmt Template'!E5="","",'Fund Financial Stmt Template'!E5)</f>
        <v/>
      </c>
      <c r="D6" s="1001"/>
      <c r="E6" s="1001"/>
      <c r="F6" s="491"/>
      <c r="G6" s="491"/>
      <c r="H6" s="491"/>
      <c r="I6" s="491"/>
      <c r="J6" s="491"/>
      <c r="K6" s="491"/>
      <c r="L6" s="491"/>
      <c r="M6" s="491"/>
      <c r="N6" s="491"/>
      <c r="O6" s="490"/>
      <c r="P6" s="490"/>
      <c r="R6" s="490"/>
      <c r="S6" s="490"/>
      <c r="T6" s="490"/>
      <c r="U6" s="490"/>
      <c r="V6" s="490"/>
      <c r="W6" s="490"/>
      <c r="X6" s="490"/>
      <c r="Y6" s="490"/>
      <c r="Z6" s="490"/>
      <c r="AA6" s="490"/>
      <c r="AB6" s="490"/>
      <c r="AC6" s="490"/>
      <c r="AD6" s="490"/>
      <c r="AE6" s="490"/>
      <c r="AF6" s="490"/>
      <c r="AG6" s="490"/>
      <c r="AH6" s="490"/>
      <c r="AI6" s="490"/>
    </row>
    <row r="7" spans="1:35" ht="24" customHeight="1">
      <c r="A7" s="372" t="s">
        <v>418</v>
      </c>
      <c r="B7" s="635"/>
      <c r="C7" s="996" t="str">
        <f>IF('Fund Financial Stmt Template'!E6="","",'Fund Financial Stmt Template'!E6)</f>
        <v/>
      </c>
      <c r="D7" s="996"/>
      <c r="E7" s="996"/>
      <c r="F7" s="491"/>
      <c r="G7" s="491"/>
      <c r="H7" s="491"/>
      <c r="I7" s="491"/>
      <c r="J7" s="491"/>
      <c r="K7" s="491"/>
      <c r="L7" s="491"/>
      <c r="M7" s="491"/>
      <c r="N7" s="491"/>
      <c r="O7" s="490"/>
      <c r="P7" s="490"/>
      <c r="R7" s="490"/>
      <c r="S7" s="490"/>
      <c r="T7" s="490"/>
      <c r="U7" s="490"/>
      <c r="V7" s="490"/>
      <c r="W7" s="490"/>
      <c r="X7" s="490"/>
      <c r="Y7" s="490"/>
      <c r="Z7" s="490"/>
      <c r="AA7" s="490"/>
      <c r="AB7" s="490"/>
      <c r="AC7" s="490"/>
      <c r="AD7" s="490"/>
      <c r="AE7" s="490"/>
      <c r="AF7" s="490"/>
      <c r="AG7" s="490"/>
      <c r="AH7" s="490"/>
      <c r="AI7" s="490"/>
    </row>
    <row r="8" spans="1:35" ht="24" customHeight="1">
      <c r="A8" s="372" t="s">
        <v>491</v>
      </c>
      <c r="B8" s="635"/>
      <c r="C8" s="997" t="str">
        <f>IF('Fund Financial Stmt Template'!E8="","",'Fund Financial Stmt Template'!E8)</f>
        <v/>
      </c>
      <c r="D8" s="997"/>
      <c r="E8" s="997"/>
      <c r="F8" s="491"/>
      <c r="G8" s="491"/>
      <c r="H8" s="491"/>
      <c r="I8" s="491"/>
      <c r="J8" s="491"/>
      <c r="K8" s="491"/>
      <c r="L8" s="491"/>
      <c r="M8" s="491"/>
      <c r="N8" s="491"/>
      <c r="O8" s="490"/>
      <c r="P8" s="490"/>
      <c r="R8" s="490"/>
      <c r="S8" s="490"/>
      <c r="T8" s="490"/>
      <c r="U8" s="490"/>
      <c r="V8" s="490"/>
      <c r="W8" s="490"/>
      <c r="X8" s="490"/>
      <c r="Y8" s="490"/>
      <c r="Z8" s="490"/>
      <c r="AA8" s="490"/>
      <c r="AB8" s="490"/>
      <c r="AC8" s="490"/>
      <c r="AD8" s="490"/>
      <c r="AE8" s="490"/>
      <c r="AF8" s="490"/>
      <c r="AG8" s="490"/>
      <c r="AH8" s="490"/>
      <c r="AI8" s="490"/>
    </row>
    <row r="9" spans="1:35" ht="15">
      <c r="A9" s="491"/>
      <c r="B9" s="491"/>
      <c r="C9" s="491"/>
      <c r="D9" s="491"/>
      <c r="E9" s="491"/>
      <c r="F9" s="988" t="s">
        <v>2795</v>
      </c>
      <c r="G9" s="989"/>
      <c r="H9" s="989"/>
      <c r="I9" s="989"/>
      <c r="J9" s="989"/>
      <c r="K9" s="989"/>
      <c r="L9" s="989"/>
      <c r="M9" s="989"/>
      <c r="N9" s="989"/>
      <c r="O9" s="990"/>
      <c r="P9" s="497"/>
      <c r="Q9" s="641"/>
      <c r="R9" s="991" t="s">
        <v>2796</v>
      </c>
      <c r="S9" s="992"/>
      <c r="T9" s="992"/>
      <c r="U9" s="993"/>
      <c r="V9" s="991" t="s">
        <v>2797</v>
      </c>
      <c r="W9" s="992"/>
      <c r="X9" s="993"/>
      <c r="Y9" s="491"/>
      <c r="Z9" s="491"/>
      <c r="AA9" s="491"/>
      <c r="AB9" s="490"/>
      <c r="AC9" s="490"/>
      <c r="AD9" s="490"/>
      <c r="AE9" s="490"/>
      <c r="AF9" s="491"/>
      <c r="AG9" s="491"/>
      <c r="AH9" s="490"/>
      <c r="AI9" s="491"/>
    </row>
    <row r="10" spans="1:35" ht="15">
      <c r="A10" s="491"/>
      <c r="B10" s="491"/>
      <c r="C10" s="491"/>
      <c r="D10" s="491"/>
      <c r="E10" s="491"/>
      <c r="F10" s="498" t="s">
        <v>2798</v>
      </c>
      <c r="G10" s="499"/>
      <c r="H10" s="499"/>
      <c r="I10" s="499"/>
      <c r="J10" s="499"/>
      <c r="K10" s="499"/>
      <c r="L10" s="499"/>
      <c r="M10" s="499"/>
      <c r="N10" s="500"/>
      <c r="O10" s="501"/>
      <c r="P10" s="502"/>
      <c r="Q10" s="641"/>
      <c r="R10" s="503"/>
      <c r="S10" s="504"/>
      <c r="T10" s="504"/>
      <c r="U10" s="505"/>
      <c r="V10" s="994" t="s">
        <v>2799</v>
      </c>
      <c r="W10" s="995"/>
      <c r="X10" s="506"/>
      <c r="Y10" s="491"/>
      <c r="Z10" s="491"/>
      <c r="AA10" s="507"/>
      <c r="AB10" s="992" t="s">
        <v>2800</v>
      </c>
      <c r="AC10" s="992"/>
      <c r="AD10" s="992"/>
      <c r="AE10" s="993"/>
      <c r="AF10" s="491"/>
      <c r="AG10" s="491"/>
      <c r="AH10" s="508"/>
      <c r="AI10" s="491"/>
    </row>
    <row r="11" spans="1:35" ht="127.9" customHeight="1">
      <c r="A11" s="492" t="s">
        <v>2801</v>
      </c>
      <c r="B11" s="493" t="s">
        <v>2802</v>
      </c>
      <c r="C11" s="509" t="s">
        <v>2828</v>
      </c>
      <c r="D11" s="509" t="s">
        <v>2829</v>
      </c>
      <c r="E11" s="510" t="s">
        <v>2830</v>
      </c>
      <c r="F11" s="511" t="s">
        <v>2803</v>
      </c>
      <c r="G11" s="511" t="s">
        <v>2804</v>
      </c>
      <c r="H11" s="511" t="s">
        <v>2805</v>
      </c>
      <c r="I11" s="511" t="s">
        <v>2806</v>
      </c>
      <c r="J11" s="511" t="s">
        <v>2807</v>
      </c>
      <c r="K11" s="511" t="s">
        <v>2808</v>
      </c>
      <c r="L11" s="511" t="s">
        <v>2809</v>
      </c>
      <c r="M11" s="511" t="s">
        <v>2831</v>
      </c>
      <c r="N11" s="512" t="s">
        <v>2810</v>
      </c>
      <c r="O11" s="513" t="s">
        <v>2811</v>
      </c>
      <c r="P11" s="638" t="s">
        <v>3247</v>
      </c>
      <c r="Q11" s="639" t="s">
        <v>2820</v>
      </c>
      <c r="R11" s="514" t="s">
        <v>2812</v>
      </c>
      <c r="S11" s="514" t="s">
        <v>2813</v>
      </c>
      <c r="T11" s="514" t="s">
        <v>2814</v>
      </c>
      <c r="U11" s="511" t="s">
        <v>2815</v>
      </c>
      <c r="V11" s="511" t="s">
        <v>2816</v>
      </c>
      <c r="W11" s="511" t="s">
        <v>2817</v>
      </c>
      <c r="X11" s="515" t="s">
        <v>2818</v>
      </c>
      <c r="Y11" s="516" t="s">
        <v>2819</v>
      </c>
      <c r="Z11" s="517" t="s">
        <v>2820</v>
      </c>
      <c r="AA11" s="518" t="s">
        <v>2821</v>
      </c>
      <c r="AB11" s="519" t="s">
        <v>2822</v>
      </c>
      <c r="AC11" s="519" t="s">
        <v>807</v>
      </c>
      <c r="AD11" s="519" t="s">
        <v>808</v>
      </c>
      <c r="AE11" s="519" t="s">
        <v>2823</v>
      </c>
      <c r="AF11" s="516" t="s">
        <v>503</v>
      </c>
      <c r="AG11" s="520" t="s">
        <v>2820</v>
      </c>
      <c r="AH11" s="520" t="s">
        <v>2824</v>
      </c>
      <c r="AI11" s="521" t="s">
        <v>112</v>
      </c>
    </row>
    <row r="12" spans="1:35" ht="15">
      <c r="A12" s="494" t="s">
        <v>343</v>
      </c>
      <c r="B12" s="495" t="s">
        <v>139</v>
      </c>
      <c r="C12" s="170"/>
      <c r="D12" s="491"/>
      <c r="E12" s="491"/>
      <c r="F12" s="491"/>
      <c r="G12" s="491"/>
      <c r="H12" s="491"/>
      <c r="I12" s="491"/>
      <c r="J12" s="491"/>
      <c r="K12" s="491"/>
      <c r="L12" s="491"/>
      <c r="M12" s="491"/>
      <c r="N12" s="491"/>
      <c r="O12" s="176"/>
      <c r="P12" s="573">
        <f>IF(SUM(F12:O12)=(SUM(R12:U12)),(SUM(F12:O12)))</f>
        <v>0</v>
      </c>
      <c r="Q12" s="642">
        <f>SUM(F12:O12)-SUM(R12:U12)</f>
        <v>0</v>
      </c>
      <c r="R12" s="171"/>
      <c r="S12" s="171"/>
      <c r="T12" s="171"/>
      <c r="U12" s="171"/>
      <c r="V12" s="171"/>
      <c r="W12" s="171"/>
      <c r="X12" s="171"/>
      <c r="Y12" s="522">
        <f t="shared" ref="Y12:Y107" si="0">IF(SUM(R12:U12)=SUM(V12:X12), SUM(V12:X12),"Error")</f>
        <v>0</v>
      </c>
      <c r="Z12" s="523">
        <f t="shared" ref="Z12:Z107" si="1">SUM(R12:U12)-SUM(V12:X12)</f>
        <v>0</v>
      </c>
      <c r="AA12" s="171"/>
      <c r="AB12" s="171"/>
      <c r="AC12" s="171"/>
      <c r="AD12" s="171"/>
      <c r="AE12" s="172"/>
      <c r="AF12" s="528">
        <f t="shared" ref="AF12:AF150" si="2">IF(SUM(AA12:AE12)=Y12,SUM(AA12:AE12),"Error")</f>
        <v>0</v>
      </c>
      <c r="AG12" s="523">
        <f t="shared" ref="AG12:AG150" si="3">SUM(AA12:AE12)-Y12</f>
        <v>0</v>
      </c>
      <c r="AH12" s="529" t="str">
        <f>IF(AND(P12=Y12,Y12=AF12),"","Error")</f>
        <v/>
      </c>
      <c r="AI12" s="491" t="str">
        <f>'Fund Financial Stmt Template'!$E$2</f>
        <v/>
      </c>
    </row>
    <row r="13" spans="1:35" ht="15">
      <c r="A13" s="494"/>
      <c r="B13" s="491"/>
      <c r="C13" s="177"/>
      <c r="D13" s="491"/>
      <c r="E13" s="491"/>
      <c r="F13" s="491"/>
      <c r="G13" s="491"/>
      <c r="H13" s="491"/>
      <c r="I13" s="491"/>
      <c r="J13" s="491"/>
      <c r="K13" s="491"/>
      <c r="L13" s="491"/>
      <c r="M13" s="491"/>
      <c r="N13" s="491"/>
      <c r="O13" s="178"/>
      <c r="P13" s="491"/>
      <c r="Q13" s="643"/>
      <c r="R13" s="530"/>
      <c r="S13" s="530"/>
      <c r="T13" s="530"/>
      <c r="U13" s="530"/>
      <c r="V13" s="530"/>
      <c r="W13" s="530"/>
      <c r="X13" s="530"/>
      <c r="Y13" s="524"/>
      <c r="Z13" s="525"/>
      <c r="AA13" s="530"/>
      <c r="AB13" s="530"/>
      <c r="AC13" s="530"/>
      <c r="AD13" s="530"/>
      <c r="AE13" s="531"/>
      <c r="AF13" s="491"/>
      <c r="AG13" s="525"/>
      <c r="AH13" s="529"/>
      <c r="AI13" s="491"/>
    </row>
    <row r="14" spans="1:35" ht="15">
      <c r="A14" s="494" t="s">
        <v>343</v>
      </c>
      <c r="B14" s="495" t="s">
        <v>723</v>
      </c>
      <c r="C14" s="173"/>
      <c r="D14" s="173"/>
      <c r="E14" s="173"/>
      <c r="F14" s="174"/>
      <c r="G14" s="174"/>
      <c r="H14" s="174"/>
      <c r="I14" s="174"/>
      <c r="J14" s="174"/>
      <c r="K14" s="174"/>
      <c r="L14" s="174"/>
      <c r="M14" s="174"/>
      <c r="N14" s="174"/>
      <c r="O14" s="175"/>
      <c r="P14" s="573">
        <f>IF(SUM(F14:O14)=(SUM(R14:U14)),(SUM(F14:O14)))</f>
        <v>0</v>
      </c>
      <c r="Q14" s="642">
        <f t="shared" ref="Q14:Q18" si="4">SUM(F14:O14)-SUM(R14:U14)</f>
        <v>0</v>
      </c>
      <c r="R14" s="171"/>
      <c r="S14" s="171"/>
      <c r="T14" s="171"/>
      <c r="U14" s="171"/>
      <c r="V14" s="171"/>
      <c r="W14" s="171"/>
      <c r="X14" s="171"/>
      <c r="Y14" s="526">
        <f t="shared" si="0"/>
        <v>0</v>
      </c>
      <c r="Z14" s="523">
        <f t="shared" si="1"/>
        <v>0</v>
      </c>
      <c r="AA14" s="171"/>
      <c r="AB14" s="171"/>
      <c r="AC14" s="171"/>
      <c r="AD14" s="171"/>
      <c r="AE14" s="172"/>
      <c r="AF14" s="528">
        <f t="shared" si="2"/>
        <v>0</v>
      </c>
      <c r="AG14" s="523">
        <f t="shared" si="3"/>
        <v>0</v>
      </c>
      <c r="AH14" s="529" t="str">
        <f t="shared" ref="AH14:AH107" si="5">IF(AND(P14=Y14,Y14=AF14),"","Error")</f>
        <v/>
      </c>
      <c r="AI14" s="491" t="str">
        <f>'Fund Financial Stmt Template'!$E$2</f>
        <v/>
      </c>
    </row>
    <row r="15" spans="1:35" ht="15">
      <c r="A15" s="494" t="s">
        <v>343</v>
      </c>
      <c r="B15" s="495" t="s">
        <v>723</v>
      </c>
      <c r="C15" s="173"/>
      <c r="D15" s="173"/>
      <c r="E15" s="173"/>
      <c r="F15" s="174"/>
      <c r="G15" s="174"/>
      <c r="H15" s="174"/>
      <c r="I15" s="174"/>
      <c r="J15" s="174"/>
      <c r="K15" s="174"/>
      <c r="L15" s="174"/>
      <c r="M15" s="174"/>
      <c r="N15" s="174"/>
      <c r="O15" s="175"/>
      <c r="P15" s="526">
        <f>IF(SUM(F15:O15)=(SUM(R15:U15)),(SUM(F15:O15)))</f>
        <v>0</v>
      </c>
      <c r="Q15" s="642">
        <f t="shared" si="4"/>
        <v>0</v>
      </c>
      <c r="R15" s="171"/>
      <c r="S15" s="171"/>
      <c r="T15" s="171"/>
      <c r="U15" s="171"/>
      <c r="V15" s="171"/>
      <c r="W15" s="171"/>
      <c r="X15" s="171"/>
      <c r="Y15" s="526">
        <f t="shared" ref="Y15:Y18" si="6">IF(SUM(R15:U15)=SUM(V15:X15), SUM(V15:X15),"Error")</f>
        <v>0</v>
      </c>
      <c r="Z15" s="523">
        <f t="shared" si="1"/>
        <v>0</v>
      </c>
      <c r="AA15" s="171"/>
      <c r="AB15" s="171"/>
      <c r="AC15" s="171"/>
      <c r="AD15" s="171"/>
      <c r="AE15" s="172"/>
      <c r="AF15" s="528">
        <f t="shared" si="2"/>
        <v>0</v>
      </c>
      <c r="AG15" s="523">
        <f t="shared" si="3"/>
        <v>0</v>
      </c>
      <c r="AH15" s="529" t="str">
        <f t="shared" si="5"/>
        <v/>
      </c>
      <c r="AI15" s="491" t="str">
        <f>'Fund Financial Stmt Template'!$E$2</f>
        <v/>
      </c>
    </row>
    <row r="16" spans="1:35" ht="15">
      <c r="A16" s="494" t="s">
        <v>343</v>
      </c>
      <c r="B16" s="495" t="s">
        <v>723</v>
      </c>
      <c r="C16" s="173"/>
      <c r="D16" s="173"/>
      <c r="E16" s="173"/>
      <c r="F16" s="174"/>
      <c r="G16" s="174"/>
      <c r="H16" s="174"/>
      <c r="I16" s="174"/>
      <c r="J16" s="174"/>
      <c r="K16" s="174"/>
      <c r="L16" s="174"/>
      <c r="M16" s="174"/>
      <c r="N16" s="174"/>
      <c r="O16" s="175"/>
      <c r="P16" s="526">
        <f>IF(SUM(F16:O16)=(SUM(R16:U16)),(SUM(F16:O16)))</f>
        <v>0</v>
      </c>
      <c r="Q16" s="642">
        <f t="shared" si="4"/>
        <v>0</v>
      </c>
      <c r="R16" s="171"/>
      <c r="S16" s="171"/>
      <c r="T16" s="171"/>
      <c r="U16" s="171"/>
      <c r="V16" s="171"/>
      <c r="W16" s="171"/>
      <c r="X16" s="171"/>
      <c r="Y16" s="526">
        <f t="shared" si="6"/>
        <v>0</v>
      </c>
      <c r="Z16" s="523">
        <f t="shared" si="1"/>
        <v>0</v>
      </c>
      <c r="AA16" s="171"/>
      <c r="AB16" s="171"/>
      <c r="AC16" s="171"/>
      <c r="AD16" s="171"/>
      <c r="AE16" s="172"/>
      <c r="AF16" s="528">
        <f t="shared" si="2"/>
        <v>0</v>
      </c>
      <c r="AG16" s="523">
        <f t="shared" si="3"/>
        <v>0</v>
      </c>
      <c r="AH16" s="529" t="str">
        <f t="shared" si="5"/>
        <v/>
      </c>
      <c r="AI16" s="491" t="str">
        <f>'Fund Financial Stmt Template'!$E$2</f>
        <v/>
      </c>
    </row>
    <row r="17" spans="1:35" ht="15">
      <c r="A17" s="494" t="s">
        <v>343</v>
      </c>
      <c r="B17" s="495" t="s">
        <v>723</v>
      </c>
      <c r="C17" s="173"/>
      <c r="D17" s="173"/>
      <c r="E17" s="173"/>
      <c r="F17" s="174"/>
      <c r="G17" s="174"/>
      <c r="H17" s="174"/>
      <c r="I17" s="174"/>
      <c r="J17" s="174"/>
      <c r="K17" s="174"/>
      <c r="L17" s="174"/>
      <c r="M17" s="174"/>
      <c r="N17" s="174"/>
      <c r="O17" s="175"/>
      <c r="P17" s="526">
        <f>IF(SUM(F17:O17)=(SUM(R17:U17)),(SUM(F17:O17)))</f>
        <v>0</v>
      </c>
      <c r="Q17" s="642">
        <f t="shared" si="4"/>
        <v>0</v>
      </c>
      <c r="R17" s="171"/>
      <c r="S17" s="171"/>
      <c r="T17" s="171"/>
      <c r="U17" s="171"/>
      <c r="V17" s="171"/>
      <c r="W17" s="171"/>
      <c r="X17" s="171"/>
      <c r="Y17" s="526">
        <f t="shared" si="6"/>
        <v>0</v>
      </c>
      <c r="Z17" s="523">
        <f t="shared" si="1"/>
        <v>0</v>
      </c>
      <c r="AA17" s="171"/>
      <c r="AB17" s="171"/>
      <c r="AC17" s="171"/>
      <c r="AD17" s="171"/>
      <c r="AE17" s="172"/>
      <c r="AF17" s="528">
        <f t="shared" si="2"/>
        <v>0</v>
      </c>
      <c r="AG17" s="523">
        <f t="shared" si="3"/>
        <v>0</v>
      </c>
      <c r="AH17" s="529" t="str">
        <f t="shared" si="5"/>
        <v/>
      </c>
      <c r="AI17" s="491" t="str">
        <f>'Fund Financial Stmt Template'!$E$2</f>
        <v/>
      </c>
    </row>
    <row r="18" spans="1:35" ht="15">
      <c r="A18" s="494" t="s">
        <v>343</v>
      </c>
      <c r="B18" s="495" t="s">
        <v>723</v>
      </c>
      <c r="C18" s="173"/>
      <c r="D18" s="173"/>
      <c r="E18" s="173"/>
      <c r="F18" s="174"/>
      <c r="G18" s="174"/>
      <c r="H18" s="174"/>
      <c r="I18" s="174"/>
      <c r="J18" s="174"/>
      <c r="K18" s="174"/>
      <c r="L18" s="174"/>
      <c r="M18" s="174"/>
      <c r="N18" s="174"/>
      <c r="O18" s="175"/>
      <c r="P18" s="526">
        <f>IF(SUM(F18:O18)=(SUM(R18:U18)),(SUM(F18:O18)))</f>
        <v>0</v>
      </c>
      <c r="Q18" s="642">
        <f t="shared" si="4"/>
        <v>0</v>
      </c>
      <c r="R18" s="171"/>
      <c r="S18" s="171"/>
      <c r="T18" s="171"/>
      <c r="U18" s="171"/>
      <c r="V18" s="171"/>
      <c r="W18" s="171"/>
      <c r="X18" s="171"/>
      <c r="Y18" s="526">
        <f t="shared" si="6"/>
        <v>0</v>
      </c>
      <c r="Z18" s="523">
        <f t="shared" si="1"/>
        <v>0</v>
      </c>
      <c r="AA18" s="171"/>
      <c r="AB18" s="171"/>
      <c r="AC18" s="171"/>
      <c r="AD18" s="171"/>
      <c r="AE18" s="172"/>
      <c r="AF18" s="528">
        <f t="shared" si="2"/>
        <v>0</v>
      </c>
      <c r="AG18" s="523">
        <f t="shared" si="3"/>
        <v>0</v>
      </c>
      <c r="AH18" s="529" t="str">
        <f t="shared" si="5"/>
        <v/>
      </c>
      <c r="AI18" s="491" t="str">
        <f>'Fund Financial Stmt Template'!$E$2</f>
        <v/>
      </c>
    </row>
    <row r="19" spans="1:35" ht="15">
      <c r="A19" s="494"/>
      <c r="B19" s="491"/>
      <c r="C19" s="532"/>
      <c r="D19" s="491"/>
      <c r="E19" s="491"/>
      <c r="F19" s="491"/>
      <c r="G19" s="491"/>
      <c r="H19" s="491"/>
      <c r="I19" s="491"/>
      <c r="J19" s="491"/>
      <c r="K19" s="491"/>
      <c r="L19" s="491"/>
      <c r="M19" s="491"/>
      <c r="N19" s="491"/>
      <c r="O19" s="533"/>
      <c r="P19" s="526"/>
      <c r="Q19" s="643"/>
      <c r="R19" s="530"/>
      <c r="S19" s="530"/>
      <c r="T19" s="530"/>
      <c r="U19" s="530"/>
      <c r="V19" s="530"/>
      <c r="W19" s="530"/>
      <c r="X19" s="530"/>
      <c r="Y19" s="524"/>
      <c r="Z19" s="525"/>
      <c r="AA19" s="530"/>
      <c r="AB19" s="530"/>
      <c r="AC19" s="530"/>
      <c r="AD19" s="530"/>
      <c r="AE19" s="531"/>
      <c r="AF19" s="491"/>
      <c r="AG19" s="525"/>
      <c r="AH19" s="529"/>
      <c r="AI19" s="491"/>
    </row>
    <row r="20" spans="1:35" ht="15">
      <c r="A20" s="494" t="s">
        <v>343</v>
      </c>
      <c r="B20" s="495" t="s">
        <v>862</v>
      </c>
      <c r="C20" s="173"/>
      <c r="D20" s="173"/>
      <c r="E20" s="173"/>
      <c r="F20" s="174"/>
      <c r="G20" s="174"/>
      <c r="H20" s="174"/>
      <c r="I20" s="174"/>
      <c r="J20" s="174"/>
      <c r="K20" s="174"/>
      <c r="L20" s="174"/>
      <c r="M20" s="174"/>
      <c r="N20" s="174"/>
      <c r="O20" s="175"/>
      <c r="P20" s="526">
        <f>IF(SUM(F20:O20)=(SUM(R20:U20)),(SUM(F20:O20)))</f>
        <v>0</v>
      </c>
      <c r="Q20" s="642">
        <f t="shared" ref="Q20:Q24" si="7">SUM(F20:O20)-SUM(R20:U20)</f>
        <v>0</v>
      </c>
      <c r="R20" s="171"/>
      <c r="S20" s="171"/>
      <c r="T20" s="171"/>
      <c r="U20" s="171"/>
      <c r="V20" s="171"/>
      <c r="W20" s="171"/>
      <c r="X20" s="171"/>
      <c r="Y20" s="526">
        <f t="shared" si="0"/>
        <v>0</v>
      </c>
      <c r="Z20" s="523">
        <f t="shared" si="1"/>
        <v>0</v>
      </c>
      <c r="AA20" s="171"/>
      <c r="AB20" s="171"/>
      <c r="AC20" s="171"/>
      <c r="AD20" s="171"/>
      <c r="AE20" s="172"/>
      <c r="AF20" s="528">
        <f t="shared" si="2"/>
        <v>0</v>
      </c>
      <c r="AG20" s="523">
        <f t="shared" si="3"/>
        <v>0</v>
      </c>
      <c r="AH20" s="529" t="str">
        <f t="shared" si="5"/>
        <v/>
      </c>
      <c r="AI20" s="491" t="str">
        <f>'Fund Financial Stmt Template'!$E$2</f>
        <v/>
      </c>
    </row>
    <row r="21" spans="1:35" ht="15">
      <c r="A21" s="494" t="s">
        <v>343</v>
      </c>
      <c r="B21" s="495" t="s">
        <v>862</v>
      </c>
      <c r="C21" s="173"/>
      <c r="D21" s="173"/>
      <c r="E21" s="173"/>
      <c r="F21" s="174"/>
      <c r="G21" s="174"/>
      <c r="H21" s="174"/>
      <c r="I21" s="174"/>
      <c r="J21" s="174"/>
      <c r="K21" s="174"/>
      <c r="L21" s="174"/>
      <c r="M21" s="174"/>
      <c r="N21" s="174"/>
      <c r="O21" s="175"/>
      <c r="P21" s="526">
        <f>IF(SUM(F21:O21)=(SUM(R21:U21)),(SUM(F21:O21)))</f>
        <v>0</v>
      </c>
      <c r="Q21" s="642">
        <f t="shared" si="7"/>
        <v>0</v>
      </c>
      <c r="R21" s="171"/>
      <c r="S21" s="171"/>
      <c r="T21" s="171"/>
      <c r="U21" s="171"/>
      <c r="V21" s="171"/>
      <c r="W21" s="171"/>
      <c r="X21" s="171"/>
      <c r="Y21" s="526">
        <f t="shared" ref="Y21:Y24" si="8">IF(SUM(R21:U21)=SUM(V21:X21), SUM(V21:X21),"Error")</f>
        <v>0</v>
      </c>
      <c r="Z21" s="523">
        <f t="shared" si="1"/>
        <v>0</v>
      </c>
      <c r="AA21" s="171"/>
      <c r="AB21" s="171"/>
      <c r="AC21" s="171"/>
      <c r="AD21" s="171"/>
      <c r="AE21" s="172"/>
      <c r="AF21" s="528">
        <f t="shared" si="2"/>
        <v>0</v>
      </c>
      <c r="AG21" s="523">
        <f t="shared" si="3"/>
        <v>0</v>
      </c>
      <c r="AH21" s="529" t="str">
        <f t="shared" si="5"/>
        <v/>
      </c>
      <c r="AI21" s="491" t="str">
        <f>'Fund Financial Stmt Template'!$E$2</f>
        <v/>
      </c>
    </row>
    <row r="22" spans="1:35" ht="15">
      <c r="A22" s="494" t="s">
        <v>343</v>
      </c>
      <c r="B22" s="495" t="s">
        <v>862</v>
      </c>
      <c r="C22" s="173"/>
      <c r="D22" s="173"/>
      <c r="E22" s="173"/>
      <c r="F22" s="174"/>
      <c r="G22" s="174"/>
      <c r="H22" s="174"/>
      <c r="I22" s="174"/>
      <c r="J22" s="174"/>
      <c r="K22" s="174"/>
      <c r="L22" s="174"/>
      <c r="M22" s="174"/>
      <c r="N22" s="174"/>
      <c r="O22" s="175"/>
      <c r="P22" s="526">
        <f>IF(SUM(F22:O22)=(SUM(R22:U22)),(SUM(F22:O22)))</f>
        <v>0</v>
      </c>
      <c r="Q22" s="642">
        <f t="shared" si="7"/>
        <v>0</v>
      </c>
      <c r="R22" s="171"/>
      <c r="S22" s="171"/>
      <c r="T22" s="171"/>
      <c r="U22" s="171"/>
      <c r="V22" s="171"/>
      <c r="W22" s="171"/>
      <c r="X22" s="171"/>
      <c r="Y22" s="526">
        <f t="shared" si="8"/>
        <v>0</v>
      </c>
      <c r="Z22" s="523">
        <f t="shared" si="1"/>
        <v>0</v>
      </c>
      <c r="AA22" s="171"/>
      <c r="AB22" s="171"/>
      <c r="AC22" s="171"/>
      <c r="AD22" s="171"/>
      <c r="AE22" s="172"/>
      <c r="AF22" s="528">
        <f t="shared" si="2"/>
        <v>0</v>
      </c>
      <c r="AG22" s="523">
        <f t="shared" si="3"/>
        <v>0</v>
      </c>
      <c r="AH22" s="529" t="str">
        <f t="shared" si="5"/>
        <v/>
      </c>
      <c r="AI22" s="491" t="str">
        <f>'Fund Financial Stmt Template'!$E$2</f>
        <v/>
      </c>
    </row>
    <row r="23" spans="1:35" ht="15">
      <c r="A23" s="494" t="s">
        <v>343</v>
      </c>
      <c r="B23" s="495" t="s">
        <v>862</v>
      </c>
      <c r="C23" s="173"/>
      <c r="D23" s="173"/>
      <c r="E23" s="173"/>
      <c r="F23" s="174"/>
      <c r="G23" s="174"/>
      <c r="H23" s="174"/>
      <c r="I23" s="174"/>
      <c r="J23" s="174"/>
      <c r="K23" s="174"/>
      <c r="L23" s="174"/>
      <c r="M23" s="174"/>
      <c r="N23" s="174"/>
      <c r="O23" s="175"/>
      <c r="P23" s="526">
        <f>IF(SUM(F23:O23)=(SUM(R23:U23)),(SUM(F23:O23)))</f>
        <v>0</v>
      </c>
      <c r="Q23" s="642">
        <f t="shared" si="7"/>
        <v>0</v>
      </c>
      <c r="R23" s="171"/>
      <c r="S23" s="171"/>
      <c r="T23" s="171"/>
      <c r="U23" s="171"/>
      <c r="V23" s="171"/>
      <c r="W23" s="171"/>
      <c r="X23" s="171"/>
      <c r="Y23" s="526">
        <f t="shared" si="8"/>
        <v>0</v>
      </c>
      <c r="Z23" s="523">
        <f t="shared" si="1"/>
        <v>0</v>
      </c>
      <c r="AA23" s="171"/>
      <c r="AB23" s="171"/>
      <c r="AC23" s="171"/>
      <c r="AD23" s="171"/>
      <c r="AE23" s="172"/>
      <c r="AF23" s="528">
        <f t="shared" si="2"/>
        <v>0</v>
      </c>
      <c r="AG23" s="523">
        <f t="shared" si="3"/>
        <v>0</v>
      </c>
      <c r="AH23" s="529" t="str">
        <f t="shared" si="5"/>
        <v/>
      </c>
      <c r="AI23" s="491" t="str">
        <f>'Fund Financial Stmt Template'!$E$2</f>
        <v/>
      </c>
    </row>
    <row r="24" spans="1:35" ht="15">
      <c r="A24" s="494" t="s">
        <v>343</v>
      </c>
      <c r="B24" s="495" t="s">
        <v>862</v>
      </c>
      <c r="C24" s="173"/>
      <c r="D24" s="173"/>
      <c r="E24" s="173"/>
      <c r="F24" s="174"/>
      <c r="G24" s="174"/>
      <c r="H24" s="174"/>
      <c r="I24" s="174"/>
      <c r="J24" s="174"/>
      <c r="K24" s="174"/>
      <c r="L24" s="174"/>
      <c r="M24" s="174"/>
      <c r="N24" s="174"/>
      <c r="O24" s="175"/>
      <c r="P24" s="526">
        <f>IF(SUM(F24:O24)=(SUM(R24:U24)),(SUM(F24:O24)))</f>
        <v>0</v>
      </c>
      <c r="Q24" s="642">
        <f t="shared" si="7"/>
        <v>0</v>
      </c>
      <c r="R24" s="171"/>
      <c r="S24" s="171"/>
      <c r="T24" s="171"/>
      <c r="U24" s="171"/>
      <c r="V24" s="171"/>
      <c r="W24" s="171"/>
      <c r="X24" s="171"/>
      <c r="Y24" s="526">
        <f t="shared" si="8"/>
        <v>0</v>
      </c>
      <c r="Z24" s="523">
        <f t="shared" si="1"/>
        <v>0</v>
      </c>
      <c r="AA24" s="171"/>
      <c r="AB24" s="171"/>
      <c r="AC24" s="171"/>
      <c r="AD24" s="171"/>
      <c r="AE24" s="172"/>
      <c r="AF24" s="528">
        <f t="shared" si="2"/>
        <v>0</v>
      </c>
      <c r="AG24" s="523">
        <f t="shared" si="3"/>
        <v>0</v>
      </c>
      <c r="AH24" s="529" t="str">
        <f t="shared" si="5"/>
        <v/>
      </c>
      <c r="AI24" s="491" t="str">
        <f>'Fund Financial Stmt Template'!$E$2</f>
        <v/>
      </c>
    </row>
    <row r="25" spans="1:35" ht="15">
      <c r="A25" s="494"/>
      <c r="B25" s="491"/>
      <c r="C25" s="532"/>
      <c r="D25" s="491"/>
      <c r="E25" s="491"/>
      <c r="F25" s="491"/>
      <c r="G25" s="491"/>
      <c r="H25" s="491"/>
      <c r="I25" s="491"/>
      <c r="J25" s="491"/>
      <c r="K25" s="491"/>
      <c r="L25" s="491"/>
      <c r="M25" s="491"/>
      <c r="N25" s="491"/>
      <c r="O25" s="533"/>
      <c r="P25" s="526"/>
      <c r="Q25" s="643"/>
      <c r="R25" s="530"/>
      <c r="S25" s="530"/>
      <c r="T25" s="530"/>
      <c r="U25" s="530"/>
      <c r="V25" s="530"/>
      <c r="W25" s="530"/>
      <c r="X25" s="530"/>
      <c r="Y25" s="524"/>
      <c r="Z25" s="525"/>
      <c r="AA25" s="530"/>
      <c r="AB25" s="530"/>
      <c r="AC25" s="530"/>
      <c r="AD25" s="530"/>
      <c r="AE25" s="531"/>
      <c r="AF25" s="491"/>
      <c r="AG25" s="525"/>
      <c r="AH25" s="529"/>
      <c r="AI25" s="491"/>
    </row>
    <row r="26" spans="1:35" ht="15">
      <c r="A26" s="494" t="s">
        <v>343</v>
      </c>
      <c r="B26" s="495" t="s">
        <v>140</v>
      </c>
      <c r="C26" s="173"/>
      <c r="D26" s="173"/>
      <c r="E26" s="173"/>
      <c r="F26" s="174"/>
      <c r="G26" s="174"/>
      <c r="H26" s="174"/>
      <c r="I26" s="174"/>
      <c r="J26" s="174"/>
      <c r="K26" s="174"/>
      <c r="L26" s="174"/>
      <c r="M26" s="174"/>
      <c r="N26" s="174"/>
      <c r="O26" s="175"/>
      <c r="P26" s="526">
        <f>IF(SUM(F26:O26)=(SUM(R26:U26)),(SUM(F26:O26)))</f>
        <v>0</v>
      </c>
      <c r="Q26" s="642">
        <f t="shared" ref="Q26:Q30" si="9">SUM(F26:O26)-SUM(R26:U26)</f>
        <v>0</v>
      </c>
      <c r="R26" s="171"/>
      <c r="S26" s="171"/>
      <c r="T26" s="171"/>
      <c r="U26" s="171"/>
      <c r="V26" s="171"/>
      <c r="W26" s="171"/>
      <c r="X26" s="171"/>
      <c r="Y26" s="526">
        <f t="shared" si="0"/>
        <v>0</v>
      </c>
      <c r="Z26" s="523">
        <f t="shared" si="1"/>
        <v>0</v>
      </c>
      <c r="AA26" s="171"/>
      <c r="AB26" s="171"/>
      <c r="AC26" s="171"/>
      <c r="AD26" s="171"/>
      <c r="AE26" s="172"/>
      <c r="AF26" s="528">
        <f t="shared" si="2"/>
        <v>0</v>
      </c>
      <c r="AG26" s="523">
        <f t="shared" si="3"/>
        <v>0</v>
      </c>
      <c r="AH26" s="529" t="str">
        <f t="shared" si="5"/>
        <v/>
      </c>
      <c r="AI26" s="491" t="str">
        <f>'Fund Financial Stmt Template'!$E$2</f>
        <v/>
      </c>
    </row>
    <row r="27" spans="1:35" ht="15">
      <c r="A27" s="494" t="s">
        <v>343</v>
      </c>
      <c r="B27" s="495" t="s">
        <v>140</v>
      </c>
      <c r="C27" s="173"/>
      <c r="D27" s="173"/>
      <c r="E27" s="173"/>
      <c r="F27" s="174"/>
      <c r="G27" s="174"/>
      <c r="H27" s="174"/>
      <c r="I27" s="174"/>
      <c r="J27" s="174"/>
      <c r="K27" s="174"/>
      <c r="L27" s="174"/>
      <c r="M27" s="174"/>
      <c r="N27" s="174"/>
      <c r="O27" s="175"/>
      <c r="P27" s="526">
        <f>IF(SUM(F27:O27)=(SUM(R27:U27)),(SUM(F27:O27)))</f>
        <v>0</v>
      </c>
      <c r="Q27" s="642">
        <f t="shared" si="9"/>
        <v>0</v>
      </c>
      <c r="R27" s="171"/>
      <c r="S27" s="171"/>
      <c r="T27" s="171"/>
      <c r="U27" s="171"/>
      <c r="V27" s="171"/>
      <c r="W27" s="171"/>
      <c r="X27" s="171"/>
      <c r="Y27" s="526">
        <f t="shared" ref="Y27:Y30" si="10">IF(SUM(R27:U27)=SUM(V27:X27), SUM(V27:X27),"Error")</f>
        <v>0</v>
      </c>
      <c r="Z27" s="523">
        <f t="shared" si="1"/>
        <v>0</v>
      </c>
      <c r="AA27" s="171"/>
      <c r="AB27" s="171"/>
      <c r="AC27" s="171"/>
      <c r="AD27" s="171"/>
      <c r="AE27" s="172"/>
      <c r="AF27" s="528">
        <f t="shared" si="2"/>
        <v>0</v>
      </c>
      <c r="AG27" s="523">
        <f t="shared" si="3"/>
        <v>0</v>
      </c>
      <c r="AH27" s="529" t="str">
        <f t="shared" si="5"/>
        <v/>
      </c>
      <c r="AI27" s="491" t="str">
        <f>'Fund Financial Stmt Template'!$E$2</f>
        <v/>
      </c>
    </row>
    <row r="28" spans="1:35" ht="15">
      <c r="A28" s="494" t="s">
        <v>343</v>
      </c>
      <c r="B28" s="495" t="s">
        <v>140</v>
      </c>
      <c r="C28" s="173"/>
      <c r="D28" s="173"/>
      <c r="E28" s="173"/>
      <c r="F28" s="174"/>
      <c r="G28" s="174"/>
      <c r="H28" s="174"/>
      <c r="I28" s="174"/>
      <c r="J28" s="174"/>
      <c r="K28" s="174"/>
      <c r="L28" s="174"/>
      <c r="M28" s="174"/>
      <c r="N28" s="174"/>
      <c r="O28" s="175"/>
      <c r="P28" s="526">
        <f>IF(SUM(F28:O28)=(SUM(R28:U28)),(SUM(F28:O28)))</f>
        <v>0</v>
      </c>
      <c r="Q28" s="642">
        <f t="shared" si="9"/>
        <v>0</v>
      </c>
      <c r="R28" s="171"/>
      <c r="S28" s="171"/>
      <c r="T28" s="171"/>
      <c r="U28" s="171"/>
      <c r="V28" s="171"/>
      <c r="W28" s="171"/>
      <c r="X28" s="171"/>
      <c r="Y28" s="526">
        <f t="shared" si="10"/>
        <v>0</v>
      </c>
      <c r="Z28" s="523">
        <f t="shared" si="1"/>
        <v>0</v>
      </c>
      <c r="AA28" s="171"/>
      <c r="AB28" s="171"/>
      <c r="AC28" s="171"/>
      <c r="AD28" s="171"/>
      <c r="AE28" s="172"/>
      <c r="AF28" s="528">
        <f t="shared" si="2"/>
        <v>0</v>
      </c>
      <c r="AG28" s="523">
        <f t="shared" si="3"/>
        <v>0</v>
      </c>
      <c r="AH28" s="529" t="str">
        <f t="shared" si="5"/>
        <v/>
      </c>
      <c r="AI28" s="491" t="str">
        <f>'Fund Financial Stmt Template'!$E$2</f>
        <v/>
      </c>
    </row>
    <row r="29" spans="1:35" ht="15">
      <c r="A29" s="494" t="s">
        <v>343</v>
      </c>
      <c r="B29" s="495" t="s">
        <v>140</v>
      </c>
      <c r="C29" s="173"/>
      <c r="D29" s="173"/>
      <c r="E29" s="173"/>
      <c r="F29" s="174"/>
      <c r="G29" s="174"/>
      <c r="H29" s="174"/>
      <c r="I29" s="174"/>
      <c r="J29" s="174"/>
      <c r="K29" s="174"/>
      <c r="L29" s="174"/>
      <c r="M29" s="174"/>
      <c r="N29" s="174"/>
      <c r="O29" s="175"/>
      <c r="P29" s="526">
        <f>IF(SUM(F29:O29)=(SUM(R29:U29)),(SUM(F29:O29)))</f>
        <v>0</v>
      </c>
      <c r="Q29" s="642">
        <f t="shared" si="9"/>
        <v>0</v>
      </c>
      <c r="R29" s="171"/>
      <c r="S29" s="171"/>
      <c r="T29" s="171"/>
      <c r="U29" s="171"/>
      <c r="V29" s="171"/>
      <c r="W29" s="171"/>
      <c r="X29" s="171"/>
      <c r="Y29" s="526">
        <f t="shared" si="10"/>
        <v>0</v>
      </c>
      <c r="Z29" s="523">
        <f t="shared" si="1"/>
        <v>0</v>
      </c>
      <c r="AA29" s="171"/>
      <c r="AB29" s="171"/>
      <c r="AC29" s="171"/>
      <c r="AD29" s="171"/>
      <c r="AE29" s="172"/>
      <c r="AF29" s="528">
        <f t="shared" si="2"/>
        <v>0</v>
      </c>
      <c r="AG29" s="523">
        <f t="shared" si="3"/>
        <v>0</v>
      </c>
      <c r="AH29" s="529" t="str">
        <f t="shared" si="5"/>
        <v/>
      </c>
      <c r="AI29" s="491" t="str">
        <f>'Fund Financial Stmt Template'!$E$2</f>
        <v/>
      </c>
    </row>
    <row r="30" spans="1:35" ht="15">
      <c r="A30" s="494" t="s">
        <v>343</v>
      </c>
      <c r="B30" s="495" t="s">
        <v>140</v>
      </c>
      <c r="C30" s="173"/>
      <c r="D30" s="173"/>
      <c r="E30" s="173"/>
      <c r="F30" s="174"/>
      <c r="G30" s="174"/>
      <c r="H30" s="174"/>
      <c r="I30" s="174"/>
      <c r="J30" s="174"/>
      <c r="K30" s="174"/>
      <c r="L30" s="174"/>
      <c r="M30" s="174"/>
      <c r="N30" s="174"/>
      <c r="O30" s="175"/>
      <c r="P30" s="526">
        <f>IF(SUM(F30:O30)=(SUM(R30:U30)),(SUM(F30:O30)))</f>
        <v>0</v>
      </c>
      <c r="Q30" s="642">
        <f t="shared" si="9"/>
        <v>0</v>
      </c>
      <c r="R30" s="171"/>
      <c r="S30" s="171"/>
      <c r="T30" s="171"/>
      <c r="U30" s="171"/>
      <c r="V30" s="171"/>
      <c r="W30" s="171"/>
      <c r="X30" s="171"/>
      <c r="Y30" s="526">
        <f t="shared" si="10"/>
        <v>0</v>
      </c>
      <c r="Z30" s="523">
        <f t="shared" si="1"/>
        <v>0</v>
      </c>
      <c r="AA30" s="171"/>
      <c r="AB30" s="171"/>
      <c r="AC30" s="171"/>
      <c r="AD30" s="171"/>
      <c r="AE30" s="172"/>
      <c r="AF30" s="528">
        <f t="shared" si="2"/>
        <v>0</v>
      </c>
      <c r="AG30" s="523">
        <f t="shared" si="3"/>
        <v>0</v>
      </c>
      <c r="AH30" s="529" t="str">
        <f t="shared" si="5"/>
        <v/>
      </c>
      <c r="AI30" s="491" t="str">
        <f>'Fund Financial Stmt Template'!$E$2</f>
        <v/>
      </c>
    </row>
    <row r="31" spans="1:35" ht="15">
      <c r="A31" s="494"/>
      <c r="B31" s="491"/>
      <c r="C31" s="532"/>
      <c r="D31" s="491"/>
      <c r="E31" s="491"/>
      <c r="F31" s="491"/>
      <c r="G31" s="491"/>
      <c r="H31" s="491"/>
      <c r="I31" s="491"/>
      <c r="J31" s="491"/>
      <c r="K31" s="491"/>
      <c r="L31" s="491"/>
      <c r="M31" s="491"/>
      <c r="N31" s="491"/>
      <c r="O31" s="533"/>
      <c r="P31" s="526"/>
      <c r="Q31" s="642"/>
      <c r="R31" s="530"/>
      <c r="S31" s="530"/>
      <c r="T31" s="530"/>
      <c r="U31" s="530"/>
      <c r="V31" s="530"/>
      <c r="W31" s="530"/>
      <c r="X31" s="530"/>
      <c r="Y31" s="526"/>
      <c r="Z31" s="523"/>
      <c r="AA31" s="530"/>
      <c r="AB31" s="530"/>
      <c r="AC31" s="530"/>
      <c r="AD31" s="530"/>
      <c r="AE31" s="531"/>
      <c r="AF31" s="491"/>
      <c r="AG31" s="525"/>
      <c r="AH31" s="529"/>
      <c r="AI31" s="491"/>
    </row>
    <row r="32" spans="1:35" ht="15">
      <c r="A32" s="494" t="s">
        <v>343</v>
      </c>
      <c r="B32" s="495" t="s">
        <v>142</v>
      </c>
      <c r="C32" s="173"/>
      <c r="D32" s="173"/>
      <c r="E32" s="173"/>
      <c r="F32" s="174"/>
      <c r="G32" s="174"/>
      <c r="H32" s="174"/>
      <c r="I32" s="174"/>
      <c r="J32" s="174"/>
      <c r="K32" s="174"/>
      <c r="L32" s="174"/>
      <c r="M32" s="174"/>
      <c r="N32" s="174"/>
      <c r="O32" s="175"/>
      <c r="P32" s="526">
        <f>IF(SUM(F32:O32)=(SUM(R32:U32)),(SUM(F32:O32)))</f>
        <v>0</v>
      </c>
      <c r="Q32" s="642">
        <f t="shared" ref="Q32:Q36" si="11">SUM(F32:O32)-SUM(R32:U32)</f>
        <v>0</v>
      </c>
      <c r="R32" s="171"/>
      <c r="S32" s="171"/>
      <c r="T32" s="171"/>
      <c r="U32" s="171"/>
      <c r="V32" s="171"/>
      <c r="W32" s="171"/>
      <c r="X32" s="171"/>
      <c r="Y32" s="526">
        <f t="shared" si="0"/>
        <v>0</v>
      </c>
      <c r="Z32" s="523">
        <f t="shared" si="1"/>
        <v>0</v>
      </c>
      <c r="AA32" s="171"/>
      <c r="AB32" s="171"/>
      <c r="AC32" s="171"/>
      <c r="AD32" s="171"/>
      <c r="AE32" s="172"/>
      <c r="AF32" s="528">
        <f t="shared" si="2"/>
        <v>0</v>
      </c>
      <c r="AG32" s="523">
        <f t="shared" si="3"/>
        <v>0</v>
      </c>
      <c r="AH32" s="529" t="str">
        <f t="shared" si="5"/>
        <v/>
      </c>
      <c r="AI32" s="491" t="str">
        <f>'Fund Financial Stmt Template'!$E$2</f>
        <v/>
      </c>
    </row>
    <row r="33" spans="1:35" ht="15">
      <c r="A33" s="494" t="s">
        <v>343</v>
      </c>
      <c r="B33" s="495" t="s">
        <v>142</v>
      </c>
      <c r="C33" s="173"/>
      <c r="D33" s="173"/>
      <c r="E33" s="173"/>
      <c r="F33" s="174"/>
      <c r="G33" s="174"/>
      <c r="H33" s="174"/>
      <c r="I33" s="174"/>
      <c r="J33" s="174"/>
      <c r="K33" s="174"/>
      <c r="L33" s="174"/>
      <c r="M33" s="174"/>
      <c r="N33" s="174"/>
      <c r="O33" s="175"/>
      <c r="P33" s="526">
        <f>IF(SUM(F33:O33)=(SUM(R33:U33)),(SUM(F33:O33)))</f>
        <v>0</v>
      </c>
      <c r="Q33" s="642">
        <f t="shared" si="11"/>
        <v>0</v>
      </c>
      <c r="R33" s="171"/>
      <c r="S33" s="171"/>
      <c r="T33" s="171"/>
      <c r="U33" s="171"/>
      <c r="V33" s="171"/>
      <c r="W33" s="171"/>
      <c r="X33" s="171"/>
      <c r="Y33" s="526">
        <f t="shared" ref="Y33:Y36" si="12">IF(SUM(R33:U33)=SUM(V33:X33), SUM(V33:X33),"Error")</f>
        <v>0</v>
      </c>
      <c r="Z33" s="523">
        <f t="shared" si="1"/>
        <v>0</v>
      </c>
      <c r="AA33" s="171"/>
      <c r="AB33" s="171"/>
      <c r="AC33" s="171"/>
      <c r="AD33" s="171"/>
      <c r="AE33" s="172"/>
      <c r="AF33" s="528">
        <f t="shared" si="2"/>
        <v>0</v>
      </c>
      <c r="AG33" s="523">
        <f t="shared" si="3"/>
        <v>0</v>
      </c>
      <c r="AH33" s="529" t="str">
        <f t="shared" si="5"/>
        <v/>
      </c>
      <c r="AI33" s="491" t="str">
        <f>'Fund Financial Stmt Template'!$E$2</f>
        <v/>
      </c>
    </row>
    <row r="34" spans="1:35" ht="15">
      <c r="A34" s="494" t="s">
        <v>343</v>
      </c>
      <c r="B34" s="495" t="s">
        <v>142</v>
      </c>
      <c r="C34" s="173"/>
      <c r="D34" s="173"/>
      <c r="E34" s="173"/>
      <c r="F34" s="174"/>
      <c r="G34" s="174"/>
      <c r="H34" s="174"/>
      <c r="I34" s="174"/>
      <c r="J34" s="174"/>
      <c r="K34" s="174"/>
      <c r="L34" s="174"/>
      <c r="M34" s="174"/>
      <c r="N34" s="174"/>
      <c r="O34" s="175"/>
      <c r="P34" s="526">
        <f>IF(SUM(F34:O34)=(SUM(R34:U34)),(SUM(F34:O34)))</f>
        <v>0</v>
      </c>
      <c r="Q34" s="642">
        <f t="shared" si="11"/>
        <v>0</v>
      </c>
      <c r="R34" s="171"/>
      <c r="S34" s="171"/>
      <c r="T34" s="171"/>
      <c r="U34" s="171"/>
      <c r="V34" s="171"/>
      <c r="W34" s="171"/>
      <c r="X34" s="171"/>
      <c r="Y34" s="526">
        <f t="shared" si="12"/>
        <v>0</v>
      </c>
      <c r="Z34" s="523">
        <f t="shared" si="1"/>
        <v>0</v>
      </c>
      <c r="AA34" s="171"/>
      <c r="AB34" s="171"/>
      <c r="AC34" s="171"/>
      <c r="AD34" s="171"/>
      <c r="AE34" s="172"/>
      <c r="AF34" s="528">
        <f t="shared" si="2"/>
        <v>0</v>
      </c>
      <c r="AG34" s="523">
        <f t="shared" si="3"/>
        <v>0</v>
      </c>
      <c r="AH34" s="529" t="str">
        <f t="shared" si="5"/>
        <v/>
      </c>
      <c r="AI34" s="491" t="str">
        <f>'Fund Financial Stmt Template'!$E$2</f>
        <v/>
      </c>
    </row>
    <row r="35" spans="1:35" ht="15">
      <c r="A35" s="494" t="s">
        <v>343</v>
      </c>
      <c r="B35" s="495" t="s">
        <v>142</v>
      </c>
      <c r="C35" s="173"/>
      <c r="D35" s="173"/>
      <c r="E35" s="173"/>
      <c r="F35" s="174"/>
      <c r="G35" s="174"/>
      <c r="H35" s="174"/>
      <c r="I35" s="174"/>
      <c r="J35" s="174"/>
      <c r="K35" s="174"/>
      <c r="L35" s="174"/>
      <c r="M35" s="174"/>
      <c r="N35" s="174"/>
      <c r="O35" s="175"/>
      <c r="P35" s="526">
        <f>IF(SUM(F35:O35)=(SUM(R35:U35)),(SUM(F35:O35)))</f>
        <v>0</v>
      </c>
      <c r="Q35" s="642">
        <f t="shared" si="11"/>
        <v>0</v>
      </c>
      <c r="R35" s="171"/>
      <c r="S35" s="171"/>
      <c r="T35" s="171"/>
      <c r="U35" s="171"/>
      <c r="V35" s="171"/>
      <c r="W35" s="171"/>
      <c r="X35" s="171"/>
      <c r="Y35" s="526">
        <f t="shared" si="12"/>
        <v>0</v>
      </c>
      <c r="Z35" s="523">
        <f t="shared" si="1"/>
        <v>0</v>
      </c>
      <c r="AA35" s="171"/>
      <c r="AB35" s="171"/>
      <c r="AC35" s="171"/>
      <c r="AD35" s="171"/>
      <c r="AE35" s="172"/>
      <c r="AF35" s="528">
        <f t="shared" si="2"/>
        <v>0</v>
      </c>
      <c r="AG35" s="523">
        <f t="shared" si="3"/>
        <v>0</v>
      </c>
      <c r="AH35" s="529" t="str">
        <f t="shared" si="5"/>
        <v/>
      </c>
      <c r="AI35" s="491" t="str">
        <f>'Fund Financial Stmt Template'!$E$2</f>
        <v/>
      </c>
    </row>
    <row r="36" spans="1:35" ht="15">
      <c r="A36" s="494" t="s">
        <v>343</v>
      </c>
      <c r="B36" s="495" t="s">
        <v>142</v>
      </c>
      <c r="C36" s="173"/>
      <c r="D36" s="173"/>
      <c r="E36" s="173"/>
      <c r="F36" s="174"/>
      <c r="G36" s="174"/>
      <c r="H36" s="174"/>
      <c r="I36" s="174"/>
      <c r="J36" s="174"/>
      <c r="K36" s="174"/>
      <c r="L36" s="174"/>
      <c r="M36" s="174"/>
      <c r="N36" s="174"/>
      <c r="O36" s="175"/>
      <c r="P36" s="526">
        <f>IF(SUM(F36:O36)=(SUM(R36:U36)),(SUM(F36:O36)))</f>
        <v>0</v>
      </c>
      <c r="Q36" s="642">
        <f t="shared" si="11"/>
        <v>0</v>
      </c>
      <c r="R36" s="171"/>
      <c r="S36" s="171"/>
      <c r="T36" s="171"/>
      <c r="U36" s="171"/>
      <c r="V36" s="171"/>
      <c r="W36" s="171"/>
      <c r="X36" s="171"/>
      <c r="Y36" s="526">
        <f t="shared" si="12"/>
        <v>0</v>
      </c>
      <c r="Z36" s="523">
        <f t="shared" si="1"/>
        <v>0</v>
      </c>
      <c r="AA36" s="171"/>
      <c r="AB36" s="171"/>
      <c r="AC36" s="171"/>
      <c r="AD36" s="171"/>
      <c r="AE36" s="172"/>
      <c r="AF36" s="528">
        <f t="shared" si="2"/>
        <v>0</v>
      </c>
      <c r="AG36" s="523">
        <f t="shared" si="3"/>
        <v>0</v>
      </c>
      <c r="AH36" s="529" t="str">
        <f t="shared" si="5"/>
        <v/>
      </c>
      <c r="AI36" s="491" t="str">
        <f>'Fund Financial Stmt Template'!$E$2</f>
        <v/>
      </c>
    </row>
    <row r="37" spans="1:35" ht="15">
      <c r="A37" s="494"/>
      <c r="B37" s="491"/>
      <c r="C37" s="532"/>
      <c r="D37" s="491"/>
      <c r="E37" s="491"/>
      <c r="F37" s="491"/>
      <c r="G37" s="491"/>
      <c r="H37" s="491"/>
      <c r="I37" s="491"/>
      <c r="J37" s="491"/>
      <c r="K37" s="491"/>
      <c r="L37" s="491"/>
      <c r="M37" s="491"/>
      <c r="N37" s="491"/>
      <c r="O37" s="533"/>
      <c r="P37" s="526"/>
      <c r="Q37" s="643"/>
      <c r="R37" s="530"/>
      <c r="S37" s="530"/>
      <c r="T37" s="530"/>
      <c r="U37" s="530"/>
      <c r="V37" s="536"/>
      <c r="W37" s="536"/>
      <c r="X37" s="530"/>
      <c r="Y37" s="526"/>
      <c r="Z37" s="523"/>
      <c r="AA37" s="530"/>
      <c r="AB37" s="530"/>
      <c r="AC37" s="530"/>
      <c r="AD37" s="530"/>
      <c r="AE37" s="531"/>
      <c r="AF37" s="491"/>
      <c r="AG37" s="525"/>
      <c r="AH37" s="529"/>
      <c r="AI37" s="491"/>
    </row>
    <row r="38" spans="1:35" ht="15">
      <c r="A38" s="494" t="s">
        <v>343</v>
      </c>
      <c r="B38" s="495" t="s">
        <v>143</v>
      </c>
      <c r="C38" s="173"/>
      <c r="D38" s="173"/>
      <c r="E38" s="173"/>
      <c r="F38" s="174"/>
      <c r="G38" s="174"/>
      <c r="H38" s="174"/>
      <c r="I38" s="174"/>
      <c r="J38" s="174"/>
      <c r="K38" s="174"/>
      <c r="L38" s="174"/>
      <c r="M38" s="174"/>
      <c r="N38" s="174"/>
      <c r="O38" s="175"/>
      <c r="P38" s="526">
        <f>IF(SUM(F38:O38)=(SUM(R38:U38)),(SUM(F38:O38)))</f>
        <v>0</v>
      </c>
      <c r="Q38" s="642">
        <f t="shared" ref="Q38:Q42" si="13">SUM(F38:O38)-SUM(R38:U38)</f>
        <v>0</v>
      </c>
      <c r="R38" s="171"/>
      <c r="S38" s="171"/>
      <c r="T38" s="171"/>
      <c r="U38" s="171"/>
      <c r="V38" s="536"/>
      <c r="W38" s="536"/>
      <c r="X38" s="171"/>
      <c r="Y38" s="526">
        <f t="shared" si="0"/>
        <v>0</v>
      </c>
      <c r="Z38" s="523">
        <f t="shared" si="1"/>
        <v>0</v>
      </c>
      <c r="AA38" s="171"/>
      <c r="AB38" s="171"/>
      <c r="AC38" s="171"/>
      <c r="AD38" s="171"/>
      <c r="AE38" s="172"/>
      <c r="AF38" s="528">
        <f t="shared" si="2"/>
        <v>0</v>
      </c>
      <c r="AG38" s="523">
        <f t="shared" si="3"/>
        <v>0</v>
      </c>
      <c r="AH38" s="529" t="str">
        <f t="shared" si="5"/>
        <v/>
      </c>
      <c r="AI38" s="491" t="str">
        <f>'Fund Financial Stmt Template'!$E$2</f>
        <v/>
      </c>
    </row>
    <row r="39" spans="1:35" ht="15">
      <c r="A39" s="494" t="s">
        <v>343</v>
      </c>
      <c r="B39" s="495" t="s">
        <v>143</v>
      </c>
      <c r="C39" s="173"/>
      <c r="D39" s="173"/>
      <c r="E39" s="173"/>
      <c r="F39" s="174"/>
      <c r="G39" s="174"/>
      <c r="H39" s="174"/>
      <c r="I39" s="174"/>
      <c r="J39" s="174"/>
      <c r="K39" s="174"/>
      <c r="L39" s="174"/>
      <c r="M39" s="174"/>
      <c r="N39" s="174"/>
      <c r="O39" s="175"/>
      <c r="P39" s="526">
        <f>IF(SUM(F39:O39)=(SUM(R39:U39)),(SUM(F39:O39)))</f>
        <v>0</v>
      </c>
      <c r="Q39" s="642">
        <f t="shared" si="13"/>
        <v>0</v>
      </c>
      <c r="R39" s="171"/>
      <c r="S39" s="171"/>
      <c r="T39" s="171"/>
      <c r="U39" s="171"/>
      <c r="V39" s="536"/>
      <c r="W39" s="536"/>
      <c r="X39" s="171"/>
      <c r="Y39" s="526">
        <f t="shared" ref="Y39:Y42" si="14">IF(SUM(R39:U39)=SUM(V39:X39), SUM(V39:X39),"Error")</f>
        <v>0</v>
      </c>
      <c r="Z39" s="523">
        <f t="shared" si="1"/>
        <v>0</v>
      </c>
      <c r="AA39" s="171"/>
      <c r="AB39" s="171"/>
      <c r="AC39" s="171"/>
      <c r="AD39" s="171"/>
      <c r="AE39" s="172"/>
      <c r="AF39" s="528">
        <f t="shared" si="2"/>
        <v>0</v>
      </c>
      <c r="AG39" s="523">
        <f t="shared" si="3"/>
        <v>0</v>
      </c>
      <c r="AH39" s="529" t="str">
        <f t="shared" si="5"/>
        <v/>
      </c>
      <c r="AI39" s="491" t="str">
        <f>'Fund Financial Stmt Template'!$E$2</f>
        <v/>
      </c>
    </row>
    <row r="40" spans="1:35" ht="15">
      <c r="A40" s="494" t="s">
        <v>343</v>
      </c>
      <c r="B40" s="495" t="s">
        <v>143</v>
      </c>
      <c r="C40" s="173"/>
      <c r="D40" s="173"/>
      <c r="E40" s="173"/>
      <c r="F40" s="174"/>
      <c r="G40" s="174"/>
      <c r="H40" s="174"/>
      <c r="I40" s="174"/>
      <c r="J40" s="174"/>
      <c r="K40" s="174"/>
      <c r="L40" s="174"/>
      <c r="M40" s="174"/>
      <c r="N40" s="174"/>
      <c r="O40" s="175"/>
      <c r="P40" s="526">
        <f>IF(SUM(F40:O40)=(SUM(R40:U40)),(SUM(F40:O40)))</f>
        <v>0</v>
      </c>
      <c r="Q40" s="642">
        <f t="shared" si="13"/>
        <v>0</v>
      </c>
      <c r="R40" s="171"/>
      <c r="S40" s="171"/>
      <c r="T40" s="171"/>
      <c r="U40" s="171"/>
      <c r="V40" s="536"/>
      <c r="W40" s="536"/>
      <c r="X40" s="171"/>
      <c r="Y40" s="526">
        <f t="shared" si="14"/>
        <v>0</v>
      </c>
      <c r="Z40" s="523">
        <f t="shared" si="1"/>
        <v>0</v>
      </c>
      <c r="AA40" s="171"/>
      <c r="AB40" s="171"/>
      <c r="AC40" s="171"/>
      <c r="AD40" s="171"/>
      <c r="AE40" s="172"/>
      <c r="AF40" s="528">
        <f t="shared" si="2"/>
        <v>0</v>
      </c>
      <c r="AG40" s="523">
        <f t="shared" si="3"/>
        <v>0</v>
      </c>
      <c r="AH40" s="529" t="str">
        <f t="shared" si="5"/>
        <v/>
      </c>
      <c r="AI40" s="491" t="str">
        <f>'Fund Financial Stmt Template'!$E$2</f>
        <v/>
      </c>
    </row>
    <row r="41" spans="1:35" ht="15">
      <c r="A41" s="494" t="s">
        <v>343</v>
      </c>
      <c r="B41" s="495" t="s">
        <v>143</v>
      </c>
      <c r="C41" s="173"/>
      <c r="D41" s="173"/>
      <c r="E41" s="173"/>
      <c r="F41" s="174"/>
      <c r="G41" s="174"/>
      <c r="H41" s="174"/>
      <c r="I41" s="174"/>
      <c r="J41" s="174"/>
      <c r="K41" s="174"/>
      <c r="L41" s="174"/>
      <c r="M41" s="174"/>
      <c r="N41" s="174"/>
      <c r="O41" s="175"/>
      <c r="P41" s="526">
        <f>IF(SUM(F41:O41)=(SUM(R41:U41)),(SUM(F41:O41)))</f>
        <v>0</v>
      </c>
      <c r="Q41" s="642">
        <f t="shared" si="13"/>
        <v>0</v>
      </c>
      <c r="R41" s="171"/>
      <c r="S41" s="171"/>
      <c r="T41" s="171"/>
      <c r="U41" s="171"/>
      <c r="V41" s="536"/>
      <c r="W41" s="536"/>
      <c r="X41" s="171"/>
      <c r="Y41" s="526">
        <f t="shared" si="14"/>
        <v>0</v>
      </c>
      <c r="Z41" s="523">
        <f t="shared" si="1"/>
        <v>0</v>
      </c>
      <c r="AA41" s="171"/>
      <c r="AB41" s="171"/>
      <c r="AC41" s="171"/>
      <c r="AD41" s="171"/>
      <c r="AE41" s="172"/>
      <c r="AF41" s="528">
        <f t="shared" si="2"/>
        <v>0</v>
      </c>
      <c r="AG41" s="523">
        <f t="shared" si="3"/>
        <v>0</v>
      </c>
      <c r="AH41" s="529" t="str">
        <f t="shared" si="5"/>
        <v/>
      </c>
      <c r="AI41" s="491" t="str">
        <f>'Fund Financial Stmt Template'!$E$2</f>
        <v/>
      </c>
    </row>
    <row r="42" spans="1:35" ht="15">
      <c r="A42" s="494" t="s">
        <v>343</v>
      </c>
      <c r="B42" s="495" t="s">
        <v>143</v>
      </c>
      <c r="C42" s="173"/>
      <c r="D42" s="173"/>
      <c r="E42" s="173"/>
      <c r="F42" s="174"/>
      <c r="G42" s="174"/>
      <c r="H42" s="174"/>
      <c r="I42" s="174"/>
      <c r="J42" s="174"/>
      <c r="K42" s="174"/>
      <c r="L42" s="174"/>
      <c r="M42" s="174"/>
      <c r="N42" s="174"/>
      <c r="O42" s="175"/>
      <c r="P42" s="526">
        <f>IF(SUM(F42:O42)=(SUM(R42:U42)),(SUM(F42:O42)))</f>
        <v>0</v>
      </c>
      <c r="Q42" s="642">
        <f t="shared" si="13"/>
        <v>0</v>
      </c>
      <c r="R42" s="171"/>
      <c r="S42" s="171"/>
      <c r="T42" s="171"/>
      <c r="U42" s="171"/>
      <c r="V42" s="536"/>
      <c r="W42" s="536"/>
      <c r="X42" s="171"/>
      <c r="Y42" s="526">
        <f t="shared" si="14"/>
        <v>0</v>
      </c>
      <c r="Z42" s="523">
        <f t="shared" si="1"/>
        <v>0</v>
      </c>
      <c r="AA42" s="171"/>
      <c r="AB42" s="171"/>
      <c r="AC42" s="171"/>
      <c r="AD42" s="171"/>
      <c r="AE42" s="172"/>
      <c r="AF42" s="528">
        <f t="shared" si="2"/>
        <v>0</v>
      </c>
      <c r="AG42" s="523">
        <f t="shared" si="3"/>
        <v>0</v>
      </c>
      <c r="AH42" s="529" t="str">
        <f t="shared" si="5"/>
        <v/>
      </c>
      <c r="AI42" s="491" t="str">
        <f>'Fund Financial Stmt Template'!$E$2</f>
        <v/>
      </c>
    </row>
    <row r="43" spans="1:35" ht="15">
      <c r="A43" s="494"/>
      <c r="B43" s="491"/>
      <c r="C43" s="532"/>
      <c r="D43" s="491"/>
      <c r="E43" s="491"/>
      <c r="F43" s="491"/>
      <c r="G43" s="491"/>
      <c r="H43" s="491"/>
      <c r="I43" s="491"/>
      <c r="J43" s="491"/>
      <c r="K43" s="491"/>
      <c r="L43" s="491"/>
      <c r="M43" s="491"/>
      <c r="N43" s="491"/>
      <c r="O43" s="533"/>
      <c r="P43" s="526"/>
      <c r="Q43" s="643"/>
      <c r="R43" s="530"/>
      <c r="S43" s="530"/>
      <c r="T43" s="530"/>
      <c r="U43" s="530"/>
      <c r="V43" s="536"/>
      <c r="W43" s="536"/>
      <c r="X43" s="530"/>
      <c r="Y43" s="526"/>
      <c r="Z43" s="523"/>
      <c r="AA43" s="530"/>
      <c r="AB43" s="530"/>
      <c r="AC43" s="530"/>
      <c r="AD43" s="530"/>
      <c r="AE43" s="531"/>
      <c r="AF43" s="491"/>
      <c r="AG43" s="525"/>
      <c r="AH43" s="529"/>
      <c r="AI43" s="491"/>
    </row>
    <row r="44" spans="1:35" ht="15">
      <c r="A44" s="494" t="s">
        <v>343</v>
      </c>
      <c r="B44" s="495" t="s">
        <v>144</v>
      </c>
      <c r="C44" s="173"/>
      <c r="D44" s="173"/>
      <c r="E44" s="173"/>
      <c r="F44" s="174"/>
      <c r="G44" s="174"/>
      <c r="H44" s="174"/>
      <c r="I44" s="174"/>
      <c r="J44" s="174"/>
      <c r="K44" s="174"/>
      <c r="L44" s="174"/>
      <c r="M44" s="174"/>
      <c r="N44" s="174"/>
      <c r="O44" s="175"/>
      <c r="P44" s="526">
        <f>IF(SUM(F44:O44)=(SUM(R44:U44)),(SUM(F44:O44)))</f>
        <v>0</v>
      </c>
      <c r="Q44" s="642">
        <f t="shared" ref="Q44:Q48" si="15">SUM(F44:O44)-SUM(R44:U44)</f>
        <v>0</v>
      </c>
      <c r="R44" s="171"/>
      <c r="S44" s="171"/>
      <c r="T44" s="171"/>
      <c r="U44" s="171"/>
      <c r="V44" s="171"/>
      <c r="W44" s="171"/>
      <c r="X44" s="171"/>
      <c r="Y44" s="526">
        <f t="shared" si="0"/>
        <v>0</v>
      </c>
      <c r="Z44" s="523">
        <f t="shared" si="1"/>
        <v>0</v>
      </c>
      <c r="AA44" s="171"/>
      <c r="AB44" s="171"/>
      <c r="AC44" s="171"/>
      <c r="AD44" s="171"/>
      <c r="AE44" s="172"/>
      <c r="AF44" s="528">
        <f t="shared" si="2"/>
        <v>0</v>
      </c>
      <c r="AG44" s="523">
        <f t="shared" si="3"/>
        <v>0</v>
      </c>
      <c r="AH44" s="529" t="str">
        <f t="shared" si="5"/>
        <v/>
      </c>
      <c r="AI44" s="491" t="str">
        <f>'Fund Financial Stmt Template'!$E$2</f>
        <v/>
      </c>
    </row>
    <row r="45" spans="1:35" ht="15">
      <c r="A45" s="494" t="s">
        <v>343</v>
      </c>
      <c r="B45" s="495" t="s">
        <v>144</v>
      </c>
      <c r="C45" s="173"/>
      <c r="D45" s="173"/>
      <c r="E45" s="173"/>
      <c r="F45" s="174"/>
      <c r="G45" s="174"/>
      <c r="H45" s="174"/>
      <c r="I45" s="174"/>
      <c r="J45" s="174"/>
      <c r="K45" s="174"/>
      <c r="L45" s="174"/>
      <c r="M45" s="174"/>
      <c r="N45" s="174"/>
      <c r="O45" s="175"/>
      <c r="P45" s="526">
        <f>IF(SUM(F45:O45)=(SUM(R45:U45)),(SUM(F45:O45)))</f>
        <v>0</v>
      </c>
      <c r="Q45" s="642">
        <f t="shared" si="15"/>
        <v>0</v>
      </c>
      <c r="R45" s="171"/>
      <c r="S45" s="171"/>
      <c r="T45" s="171"/>
      <c r="U45" s="171"/>
      <c r="V45" s="171"/>
      <c r="W45" s="171"/>
      <c r="X45" s="171"/>
      <c r="Y45" s="526">
        <f t="shared" ref="Y45:Y48" si="16">IF(SUM(R45:U45)=SUM(V45:X45), SUM(V45:X45),"Error")</f>
        <v>0</v>
      </c>
      <c r="Z45" s="523">
        <f t="shared" si="1"/>
        <v>0</v>
      </c>
      <c r="AA45" s="171"/>
      <c r="AB45" s="171"/>
      <c r="AC45" s="171"/>
      <c r="AD45" s="171"/>
      <c r="AE45" s="172"/>
      <c r="AF45" s="528">
        <f t="shared" si="2"/>
        <v>0</v>
      </c>
      <c r="AG45" s="523">
        <f t="shared" si="3"/>
        <v>0</v>
      </c>
      <c r="AH45" s="529" t="str">
        <f t="shared" si="5"/>
        <v/>
      </c>
      <c r="AI45" s="491" t="str">
        <f>'Fund Financial Stmt Template'!$E$2</f>
        <v/>
      </c>
    </row>
    <row r="46" spans="1:35" ht="15">
      <c r="A46" s="494" t="s">
        <v>343</v>
      </c>
      <c r="B46" s="495" t="s">
        <v>144</v>
      </c>
      <c r="C46" s="173"/>
      <c r="D46" s="173"/>
      <c r="E46" s="173"/>
      <c r="F46" s="174"/>
      <c r="G46" s="174"/>
      <c r="H46" s="174"/>
      <c r="I46" s="174"/>
      <c r="J46" s="174"/>
      <c r="K46" s="174"/>
      <c r="L46" s="174"/>
      <c r="M46" s="174"/>
      <c r="N46" s="174"/>
      <c r="O46" s="175"/>
      <c r="P46" s="526">
        <f>IF(SUM(F46:O46)=(SUM(R46:U46)),(SUM(F46:O46)))</f>
        <v>0</v>
      </c>
      <c r="Q46" s="642">
        <f t="shared" si="15"/>
        <v>0</v>
      </c>
      <c r="R46" s="171"/>
      <c r="S46" s="171"/>
      <c r="T46" s="171"/>
      <c r="U46" s="171"/>
      <c r="V46" s="171"/>
      <c r="W46" s="171"/>
      <c r="X46" s="171"/>
      <c r="Y46" s="526">
        <f t="shared" si="16"/>
        <v>0</v>
      </c>
      <c r="Z46" s="523">
        <f t="shared" si="1"/>
        <v>0</v>
      </c>
      <c r="AA46" s="171"/>
      <c r="AB46" s="171"/>
      <c r="AC46" s="171"/>
      <c r="AD46" s="171"/>
      <c r="AE46" s="172"/>
      <c r="AF46" s="528">
        <f t="shared" si="2"/>
        <v>0</v>
      </c>
      <c r="AG46" s="523">
        <f t="shared" si="3"/>
        <v>0</v>
      </c>
      <c r="AH46" s="529" t="str">
        <f t="shared" si="5"/>
        <v/>
      </c>
      <c r="AI46" s="491" t="str">
        <f>'Fund Financial Stmt Template'!$E$2</f>
        <v/>
      </c>
    </row>
    <row r="47" spans="1:35" ht="15">
      <c r="A47" s="494" t="s">
        <v>343</v>
      </c>
      <c r="B47" s="495" t="s">
        <v>144</v>
      </c>
      <c r="C47" s="173"/>
      <c r="D47" s="173"/>
      <c r="E47" s="173"/>
      <c r="F47" s="174"/>
      <c r="G47" s="174"/>
      <c r="H47" s="174"/>
      <c r="I47" s="174"/>
      <c r="J47" s="174"/>
      <c r="K47" s="174"/>
      <c r="L47" s="174"/>
      <c r="M47" s="174"/>
      <c r="N47" s="174"/>
      <c r="O47" s="175"/>
      <c r="P47" s="526">
        <f>IF(SUM(F47:O47)=(SUM(R47:U47)),(SUM(F47:O47)))</f>
        <v>0</v>
      </c>
      <c r="Q47" s="642">
        <f t="shared" si="15"/>
        <v>0</v>
      </c>
      <c r="R47" s="171"/>
      <c r="S47" s="171"/>
      <c r="T47" s="171"/>
      <c r="U47" s="171"/>
      <c r="V47" s="171"/>
      <c r="W47" s="171"/>
      <c r="X47" s="171"/>
      <c r="Y47" s="526">
        <f t="shared" si="16"/>
        <v>0</v>
      </c>
      <c r="Z47" s="523">
        <f t="shared" si="1"/>
        <v>0</v>
      </c>
      <c r="AA47" s="171"/>
      <c r="AB47" s="171"/>
      <c r="AC47" s="171"/>
      <c r="AD47" s="171"/>
      <c r="AE47" s="172"/>
      <c r="AF47" s="528">
        <f t="shared" si="2"/>
        <v>0</v>
      </c>
      <c r="AG47" s="523">
        <f t="shared" si="3"/>
        <v>0</v>
      </c>
      <c r="AH47" s="529" t="str">
        <f t="shared" si="5"/>
        <v/>
      </c>
      <c r="AI47" s="491" t="str">
        <f>'Fund Financial Stmt Template'!$E$2</f>
        <v/>
      </c>
    </row>
    <row r="48" spans="1:35" ht="15">
      <c r="A48" s="494" t="s">
        <v>343</v>
      </c>
      <c r="B48" s="495" t="s">
        <v>144</v>
      </c>
      <c r="C48" s="173"/>
      <c r="D48" s="173"/>
      <c r="E48" s="173"/>
      <c r="F48" s="174"/>
      <c r="G48" s="174"/>
      <c r="H48" s="174"/>
      <c r="I48" s="174"/>
      <c r="J48" s="174"/>
      <c r="K48" s="174"/>
      <c r="L48" s="174"/>
      <c r="M48" s="174"/>
      <c r="N48" s="174"/>
      <c r="O48" s="175"/>
      <c r="P48" s="526">
        <f>IF(SUM(F48:O48)=(SUM(R48:U48)),(SUM(F48:O48)))</f>
        <v>0</v>
      </c>
      <c r="Q48" s="642">
        <f t="shared" si="15"/>
        <v>0</v>
      </c>
      <c r="R48" s="171"/>
      <c r="S48" s="171"/>
      <c r="T48" s="171"/>
      <c r="U48" s="171"/>
      <c r="V48" s="171"/>
      <c r="W48" s="171"/>
      <c r="X48" s="171"/>
      <c r="Y48" s="526">
        <f t="shared" si="16"/>
        <v>0</v>
      </c>
      <c r="Z48" s="523">
        <f t="shared" si="1"/>
        <v>0</v>
      </c>
      <c r="AA48" s="171"/>
      <c r="AB48" s="171"/>
      <c r="AC48" s="171"/>
      <c r="AD48" s="171"/>
      <c r="AE48" s="172"/>
      <c r="AF48" s="528">
        <f t="shared" si="2"/>
        <v>0</v>
      </c>
      <c r="AG48" s="523">
        <f t="shared" si="3"/>
        <v>0</v>
      </c>
      <c r="AH48" s="529" t="str">
        <f t="shared" si="5"/>
        <v/>
      </c>
      <c r="AI48" s="491" t="str">
        <f>'Fund Financial Stmt Template'!$E$2</f>
        <v/>
      </c>
    </row>
    <row r="49" spans="1:35" ht="15">
      <c r="A49" s="494"/>
      <c r="B49" s="491"/>
      <c r="C49" s="532"/>
      <c r="D49" s="491"/>
      <c r="E49" s="491"/>
      <c r="F49" s="491"/>
      <c r="G49" s="491"/>
      <c r="H49" s="491"/>
      <c r="I49" s="491"/>
      <c r="J49" s="491"/>
      <c r="K49" s="491"/>
      <c r="L49" s="491"/>
      <c r="M49" s="491"/>
      <c r="N49" s="491"/>
      <c r="O49" s="533"/>
      <c r="P49" s="526"/>
      <c r="Q49" s="643"/>
      <c r="R49" s="530"/>
      <c r="S49" s="530"/>
      <c r="T49" s="530"/>
      <c r="U49" s="530"/>
      <c r="V49" s="530"/>
      <c r="W49" s="530"/>
      <c r="X49" s="530"/>
      <c r="Y49" s="526"/>
      <c r="Z49" s="523"/>
      <c r="AA49" s="530"/>
      <c r="AB49" s="530"/>
      <c r="AC49" s="530"/>
      <c r="AD49" s="530"/>
      <c r="AE49" s="531"/>
      <c r="AF49" s="491"/>
      <c r="AG49" s="525"/>
      <c r="AH49" s="529"/>
      <c r="AI49" s="491"/>
    </row>
    <row r="50" spans="1:35" ht="15">
      <c r="A50" s="494" t="s">
        <v>343</v>
      </c>
      <c r="B50" s="495" t="s">
        <v>145</v>
      </c>
      <c r="C50" s="173"/>
      <c r="D50" s="173"/>
      <c r="E50" s="173"/>
      <c r="F50" s="174"/>
      <c r="G50" s="174"/>
      <c r="H50" s="174"/>
      <c r="I50" s="174"/>
      <c r="J50" s="174"/>
      <c r="K50" s="174"/>
      <c r="L50" s="174"/>
      <c r="M50" s="174"/>
      <c r="N50" s="174"/>
      <c r="O50" s="175"/>
      <c r="P50" s="526">
        <f>IF(SUM(F50:O50)=(SUM(R50:U50)),(SUM(F50:O50)))</f>
        <v>0</v>
      </c>
      <c r="Q50" s="642">
        <f t="shared" ref="Q50:Q54" si="17">SUM(F50:O50)-SUM(R50:U50)</f>
        <v>0</v>
      </c>
      <c r="R50" s="171"/>
      <c r="S50" s="171"/>
      <c r="T50" s="171"/>
      <c r="U50" s="171"/>
      <c r="V50" s="171"/>
      <c r="W50" s="171"/>
      <c r="X50" s="171"/>
      <c r="Y50" s="526">
        <f t="shared" si="0"/>
        <v>0</v>
      </c>
      <c r="Z50" s="523">
        <f t="shared" si="1"/>
        <v>0</v>
      </c>
      <c r="AA50" s="171"/>
      <c r="AB50" s="171"/>
      <c r="AC50" s="171"/>
      <c r="AD50" s="171"/>
      <c r="AE50" s="172"/>
      <c r="AF50" s="528">
        <f t="shared" si="2"/>
        <v>0</v>
      </c>
      <c r="AG50" s="523">
        <f t="shared" si="3"/>
        <v>0</v>
      </c>
      <c r="AH50" s="529" t="str">
        <f t="shared" si="5"/>
        <v/>
      </c>
      <c r="AI50" s="491" t="str">
        <f>'Fund Financial Stmt Template'!$E$2</f>
        <v/>
      </c>
    </row>
    <row r="51" spans="1:35" ht="15">
      <c r="A51" s="494" t="s">
        <v>343</v>
      </c>
      <c r="B51" s="495" t="s">
        <v>145</v>
      </c>
      <c r="C51" s="173"/>
      <c r="D51" s="173"/>
      <c r="E51" s="173"/>
      <c r="F51" s="174"/>
      <c r="G51" s="174"/>
      <c r="H51" s="174"/>
      <c r="I51" s="174"/>
      <c r="J51" s="174"/>
      <c r="K51" s="174"/>
      <c r="L51" s="174"/>
      <c r="M51" s="174"/>
      <c r="N51" s="174"/>
      <c r="O51" s="175"/>
      <c r="P51" s="526">
        <f>IF(SUM(F51:O51)=(SUM(R51:U51)),(SUM(F51:O51)))</f>
        <v>0</v>
      </c>
      <c r="Q51" s="642">
        <f t="shared" si="17"/>
        <v>0</v>
      </c>
      <c r="R51" s="171"/>
      <c r="S51" s="171"/>
      <c r="T51" s="171"/>
      <c r="U51" s="171"/>
      <c r="V51" s="171"/>
      <c r="W51" s="171"/>
      <c r="X51" s="171"/>
      <c r="Y51" s="526">
        <f t="shared" ref="Y51:Y54" si="18">IF(SUM(R51:U51)=SUM(V51:X51), SUM(V51:X51),"Error")</f>
        <v>0</v>
      </c>
      <c r="Z51" s="523">
        <f t="shared" si="1"/>
        <v>0</v>
      </c>
      <c r="AA51" s="171"/>
      <c r="AB51" s="171"/>
      <c r="AC51" s="171"/>
      <c r="AD51" s="171"/>
      <c r="AE51" s="172"/>
      <c r="AF51" s="528">
        <f t="shared" si="2"/>
        <v>0</v>
      </c>
      <c r="AG51" s="523">
        <f t="shared" si="3"/>
        <v>0</v>
      </c>
      <c r="AH51" s="529" t="str">
        <f t="shared" si="5"/>
        <v/>
      </c>
      <c r="AI51" s="491" t="str">
        <f>'Fund Financial Stmt Template'!$E$2</f>
        <v/>
      </c>
    </row>
    <row r="52" spans="1:35" ht="15">
      <c r="A52" s="494" t="s">
        <v>343</v>
      </c>
      <c r="B52" s="495" t="s">
        <v>145</v>
      </c>
      <c r="C52" s="173"/>
      <c r="D52" s="173"/>
      <c r="E52" s="173"/>
      <c r="F52" s="174"/>
      <c r="G52" s="174"/>
      <c r="H52" s="174"/>
      <c r="I52" s="174"/>
      <c r="J52" s="174"/>
      <c r="K52" s="174"/>
      <c r="L52" s="174"/>
      <c r="M52" s="174"/>
      <c r="N52" s="174"/>
      <c r="O52" s="175"/>
      <c r="P52" s="526">
        <f>IF(SUM(F52:O52)=(SUM(R52:U52)),(SUM(F52:O52)))</f>
        <v>0</v>
      </c>
      <c r="Q52" s="642">
        <f t="shared" si="17"/>
        <v>0</v>
      </c>
      <c r="R52" s="171"/>
      <c r="S52" s="171"/>
      <c r="T52" s="171"/>
      <c r="U52" s="171"/>
      <c r="V52" s="171"/>
      <c r="W52" s="171"/>
      <c r="X52" s="171"/>
      <c r="Y52" s="526">
        <f t="shared" si="18"/>
        <v>0</v>
      </c>
      <c r="Z52" s="523">
        <f t="shared" si="1"/>
        <v>0</v>
      </c>
      <c r="AA52" s="171"/>
      <c r="AB52" s="171"/>
      <c r="AC52" s="171"/>
      <c r="AD52" s="171"/>
      <c r="AE52" s="172"/>
      <c r="AF52" s="528">
        <f t="shared" si="2"/>
        <v>0</v>
      </c>
      <c r="AG52" s="523">
        <f t="shared" si="3"/>
        <v>0</v>
      </c>
      <c r="AH52" s="529" t="str">
        <f t="shared" si="5"/>
        <v/>
      </c>
      <c r="AI52" s="491" t="str">
        <f>'Fund Financial Stmt Template'!$E$2</f>
        <v/>
      </c>
    </row>
    <row r="53" spans="1:35" ht="15">
      <c r="A53" s="494" t="s">
        <v>343</v>
      </c>
      <c r="B53" s="495" t="s">
        <v>145</v>
      </c>
      <c r="C53" s="173"/>
      <c r="D53" s="173"/>
      <c r="E53" s="173"/>
      <c r="F53" s="174"/>
      <c r="G53" s="174"/>
      <c r="H53" s="174"/>
      <c r="I53" s="174"/>
      <c r="J53" s="174"/>
      <c r="K53" s="174"/>
      <c r="L53" s="174"/>
      <c r="M53" s="174"/>
      <c r="N53" s="174"/>
      <c r="O53" s="175"/>
      <c r="P53" s="526">
        <f>IF(SUM(F53:O53)=(SUM(R53:U53)),(SUM(F53:O53)))</f>
        <v>0</v>
      </c>
      <c r="Q53" s="642">
        <f t="shared" si="17"/>
        <v>0</v>
      </c>
      <c r="R53" s="171"/>
      <c r="S53" s="171"/>
      <c r="T53" s="171"/>
      <c r="U53" s="171"/>
      <c r="V53" s="171"/>
      <c r="W53" s="171"/>
      <c r="X53" s="171"/>
      <c r="Y53" s="526">
        <f t="shared" si="18"/>
        <v>0</v>
      </c>
      <c r="Z53" s="523">
        <f t="shared" si="1"/>
        <v>0</v>
      </c>
      <c r="AA53" s="171"/>
      <c r="AB53" s="171"/>
      <c r="AC53" s="171"/>
      <c r="AD53" s="171"/>
      <c r="AE53" s="172"/>
      <c r="AF53" s="528">
        <f t="shared" si="2"/>
        <v>0</v>
      </c>
      <c r="AG53" s="523">
        <f t="shared" si="3"/>
        <v>0</v>
      </c>
      <c r="AH53" s="529" t="str">
        <f t="shared" si="5"/>
        <v/>
      </c>
      <c r="AI53" s="491" t="str">
        <f>'Fund Financial Stmt Template'!$E$2</f>
        <v/>
      </c>
    </row>
    <row r="54" spans="1:35" ht="15">
      <c r="A54" s="494" t="s">
        <v>343</v>
      </c>
      <c r="B54" s="495" t="s">
        <v>145</v>
      </c>
      <c r="C54" s="173"/>
      <c r="D54" s="173"/>
      <c r="E54" s="173"/>
      <c r="F54" s="174"/>
      <c r="G54" s="174"/>
      <c r="H54" s="174"/>
      <c r="I54" s="174"/>
      <c r="J54" s="174"/>
      <c r="K54" s="174"/>
      <c r="L54" s="174"/>
      <c r="M54" s="174"/>
      <c r="N54" s="174"/>
      <c r="O54" s="175"/>
      <c r="P54" s="526">
        <f>IF(SUM(F54:O54)=(SUM(R54:U54)),(SUM(F54:O54)))</f>
        <v>0</v>
      </c>
      <c r="Q54" s="642">
        <f t="shared" si="17"/>
        <v>0</v>
      </c>
      <c r="R54" s="171"/>
      <c r="S54" s="171"/>
      <c r="T54" s="171"/>
      <c r="U54" s="171"/>
      <c r="V54" s="171"/>
      <c r="W54" s="171"/>
      <c r="X54" s="171"/>
      <c r="Y54" s="526">
        <f t="shared" si="18"/>
        <v>0</v>
      </c>
      <c r="Z54" s="523">
        <f t="shared" si="1"/>
        <v>0</v>
      </c>
      <c r="AA54" s="171"/>
      <c r="AB54" s="171"/>
      <c r="AC54" s="171"/>
      <c r="AD54" s="171"/>
      <c r="AE54" s="172"/>
      <c r="AF54" s="528">
        <f t="shared" si="2"/>
        <v>0</v>
      </c>
      <c r="AG54" s="523">
        <f t="shared" si="3"/>
        <v>0</v>
      </c>
      <c r="AH54" s="529" t="str">
        <f t="shared" si="5"/>
        <v/>
      </c>
      <c r="AI54" s="491" t="str">
        <f>'Fund Financial Stmt Template'!$E$2</f>
        <v/>
      </c>
    </row>
    <row r="55" spans="1:35" ht="15">
      <c r="A55" s="494"/>
      <c r="B55" s="491"/>
      <c r="C55" s="532"/>
      <c r="D55" s="491"/>
      <c r="E55" s="491"/>
      <c r="F55" s="491"/>
      <c r="G55" s="491"/>
      <c r="H55" s="491"/>
      <c r="I55" s="491"/>
      <c r="J55" s="491"/>
      <c r="K55" s="491"/>
      <c r="L55" s="491"/>
      <c r="M55" s="491"/>
      <c r="N55" s="491"/>
      <c r="O55" s="533"/>
      <c r="P55" s="526"/>
      <c r="Q55" s="643"/>
      <c r="R55" s="530"/>
      <c r="S55" s="530"/>
      <c r="T55" s="530"/>
      <c r="U55" s="530"/>
      <c r="V55" s="530"/>
      <c r="W55" s="530"/>
      <c r="X55" s="530"/>
      <c r="Y55" s="526"/>
      <c r="Z55" s="523"/>
      <c r="AA55" s="530"/>
      <c r="AB55" s="530"/>
      <c r="AC55" s="530"/>
      <c r="AD55" s="530"/>
      <c r="AE55" s="531"/>
      <c r="AF55" s="491"/>
      <c r="AG55" s="525"/>
      <c r="AH55" s="529"/>
      <c r="AI55" s="491"/>
    </row>
    <row r="56" spans="1:35" ht="15">
      <c r="A56" s="494" t="s">
        <v>343</v>
      </c>
      <c r="B56" s="495" t="s">
        <v>146</v>
      </c>
      <c r="C56" s="173"/>
      <c r="D56" s="173"/>
      <c r="E56" s="173"/>
      <c r="F56" s="174"/>
      <c r="G56" s="174"/>
      <c r="H56" s="174"/>
      <c r="I56" s="174"/>
      <c r="J56" s="174"/>
      <c r="K56" s="174"/>
      <c r="L56" s="174"/>
      <c r="M56" s="174"/>
      <c r="N56" s="174"/>
      <c r="O56" s="175"/>
      <c r="P56" s="526">
        <f>IF(SUM(F56:O56)=(SUM(R56:U56)),(SUM(F56:O56)))</f>
        <v>0</v>
      </c>
      <c r="Q56" s="642">
        <f t="shared" ref="Q56:Q60" si="19">SUM(F56:O56)-SUM(R56:U56)</f>
        <v>0</v>
      </c>
      <c r="R56" s="171"/>
      <c r="S56" s="171"/>
      <c r="T56" s="171"/>
      <c r="U56" s="171"/>
      <c r="V56" s="171"/>
      <c r="W56" s="171"/>
      <c r="X56" s="171"/>
      <c r="Y56" s="526">
        <f t="shared" si="0"/>
        <v>0</v>
      </c>
      <c r="Z56" s="523">
        <f t="shared" si="1"/>
        <v>0</v>
      </c>
      <c r="AA56" s="171"/>
      <c r="AB56" s="171"/>
      <c r="AC56" s="171"/>
      <c r="AD56" s="171"/>
      <c r="AE56" s="172"/>
      <c r="AF56" s="528">
        <f t="shared" si="2"/>
        <v>0</v>
      </c>
      <c r="AG56" s="523">
        <f t="shared" si="3"/>
        <v>0</v>
      </c>
      <c r="AH56" s="529" t="str">
        <f t="shared" si="5"/>
        <v/>
      </c>
      <c r="AI56" s="491" t="str">
        <f>'Fund Financial Stmt Template'!$E$2</f>
        <v/>
      </c>
    </row>
    <row r="57" spans="1:35" ht="15">
      <c r="A57" s="494" t="s">
        <v>343</v>
      </c>
      <c r="B57" s="495" t="s">
        <v>146</v>
      </c>
      <c r="C57" s="173"/>
      <c r="D57" s="173"/>
      <c r="E57" s="173"/>
      <c r="F57" s="174"/>
      <c r="G57" s="174"/>
      <c r="H57" s="174"/>
      <c r="I57" s="174"/>
      <c r="J57" s="174"/>
      <c r="K57" s="174"/>
      <c r="L57" s="174"/>
      <c r="M57" s="174"/>
      <c r="N57" s="174"/>
      <c r="O57" s="175"/>
      <c r="P57" s="526">
        <f>IF(SUM(F57:O57)=(SUM(R57:U57)),(SUM(F57:O57)))</f>
        <v>0</v>
      </c>
      <c r="Q57" s="642">
        <f t="shared" si="19"/>
        <v>0</v>
      </c>
      <c r="R57" s="171"/>
      <c r="S57" s="171"/>
      <c r="T57" s="171"/>
      <c r="U57" s="171"/>
      <c r="V57" s="171"/>
      <c r="W57" s="171"/>
      <c r="X57" s="171"/>
      <c r="Y57" s="526">
        <f t="shared" ref="Y57:Y60" si="20">IF(SUM(R57:U57)=SUM(V57:X57), SUM(V57:X57),"Error")</f>
        <v>0</v>
      </c>
      <c r="Z57" s="523">
        <f t="shared" si="1"/>
        <v>0</v>
      </c>
      <c r="AA57" s="171"/>
      <c r="AB57" s="171"/>
      <c r="AC57" s="171"/>
      <c r="AD57" s="171"/>
      <c r="AE57" s="172"/>
      <c r="AF57" s="528">
        <f t="shared" si="2"/>
        <v>0</v>
      </c>
      <c r="AG57" s="523">
        <f t="shared" si="3"/>
        <v>0</v>
      </c>
      <c r="AH57" s="529" t="str">
        <f t="shared" si="5"/>
        <v/>
      </c>
      <c r="AI57" s="491" t="str">
        <f>'Fund Financial Stmt Template'!$E$2</f>
        <v/>
      </c>
    </row>
    <row r="58" spans="1:35" ht="15">
      <c r="A58" s="494" t="s">
        <v>343</v>
      </c>
      <c r="B58" s="495" t="s">
        <v>146</v>
      </c>
      <c r="C58" s="173"/>
      <c r="D58" s="173"/>
      <c r="E58" s="173"/>
      <c r="F58" s="174"/>
      <c r="G58" s="174"/>
      <c r="H58" s="174"/>
      <c r="I58" s="174"/>
      <c r="J58" s="174"/>
      <c r="K58" s="174"/>
      <c r="L58" s="174"/>
      <c r="M58" s="174"/>
      <c r="N58" s="174"/>
      <c r="O58" s="175"/>
      <c r="P58" s="526">
        <f>IF(SUM(F58:O58)=(SUM(R58:U58)),(SUM(F58:O58)))</f>
        <v>0</v>
      </c>
      <c r="Q58" s="642">
        <f t="shared" si="19"/>
        <v>0</v>
      </c>
      <c r="R58" s="171"/>
      <c r="S58" s="171"/>
      <c r="T58" s="171"/>
      <c r="U58" s="171"/>
      <c r="V58" s="171"/>
      <c r="W58" s="171"/>
      <c r="X58" s="171"/>
      <c r="Y58" s="526">
        <f t="shared" si="20"/>
        <v>0</v>
      </c>
      <c r="Z58" s="523">
        <f t="shared" si="1"/>
        <v>0</v>
      </c>
      <c r="AA58" s="171"/>
      <c r="AB58" s="171"/>
      <c r="AC58" s="171"/>
      <c r="AD58" s="171"/>
      <c r="AE58" s="172"/>
      <c r="AF58" s="528">
        <f t="shared" si="2"/>
        <v>0</v>
      </c>
      <c r="AG58" s="523">
        <f t="shared" si="3"/>
        <v>0</v>
      </c>
      <c r="AH58" s="529" t="str">
        <f t="shared" si="5"/>
        <v/>
      </c>
      <c r="AI58" s="491" t="str">
        <f>'Fund Financial Stmt Template'!$E$2</f>
        <v/>
      </c>
    </row>
    <row r="59" spans="1:35" ht="15">
      <c r="A59" s="494" t="s">
        <v>343</v>
      </c>
      <c r="B59" s="495" t="s">
        <v>146</v>
      </c>
      <c r="C59" s="173"/>
      <c r="D59" s="173"/>
      <c r="E59" s="173"/>
      <c r="F59" s="174"/>
      <c r="G59" s="174"/>
      <c r="H59" s="174"/>
      <c r="I59" s="174"/>
      <c r="J59" s="174"/>
      <c r="K59" s="174"/>
      <c r="L59" s="174"/>
      <c r="M59" s="174"/>
      <c r="N59" s="174"/>
      <c r="O59" s="175"/>
      <c r="P59" s="526">
        <f>IF(SUM(F59:O59)=(SUM(R59:U59)),(SUM(F59:O59)))</f>
        <v>0</v>
      </c>
      <c r="Q59" s="642">
        <f t="shared" si="19"/>
        <v>0</v>
      </c>
      <c r="R59" s="171"/>
      <c r="S59" s="171"/>
      <c r="T59" s="171"/>
      <c r="U59" s="171"/>
      <c r="V59" s="171"/>
      <c r="W59" s="171"/>
      <c r="X59" s="171"/>
      <c r="Y59" s="526">
        <f t="shared" si="20"/>
        <v>0</v>
      </c>
      <c r="Z59" s="523">
        <f t="shared" si="1"/>
        <v>0</v>
      </c>
      <c r="AA59" s="171"/>
      <c r="AB59" s="171"/>
      <c r="AC59" s="171"/>
      <c r="AD59" s="171"/>
      <c r="AE59" s="172"/>
      <c r="AF59" s="528">
        <f t="shared" si="2"/>
        <v>0</v>
      </c>
      <c r="AG59" s="523">
        <f t="shared" si="3"/>
        <v>0</v>
      </c>
      <c r="AH59" s="529" t="str">
        <f t="shared" si="5"/>
        <v/>
      </c>
      <c r="AI59" s="491" t="str">
        <f>'Fund Financial Stmt Template'!$E$2</f>
        <v/>
      </c>
    </row>
    <row r="60" spans="1:35" ht="15">
      <c r="A60" s="494" t="s">
        <v>343</v>
      </c>
      <c r="B60" s="495" t="s">
        <v>146</v>
      </c>
      <c r="C60" s="173"/>
      <c r="D60" s="173"/>
      <c r="E60" s="173"/>
      <c r="F60" s="174"/>
      <c r="G60" s="174"/>
      <c r="H60" s="174"/>
      <c r="I60" s="174"/>
      <c r="J60" s="174"/>
      <c r="K60" s="174"/>
      <c r="L60" s="174"/>
      <c r="M60" s="174"/>
      <c r="N60" s="174"/>
      <c r="O60" s="175"/>
      <c r="P60" s="526">
        <f>IF(SUM(F60:O60)=(SUM(R60:U60)),(SUM(F60:O60)))</f>
        <v>0</v>
      </c>
      <c r="Q60" s="642">
        <f t="shared" si="19"/>
        <v>0</v>
      </c>
      <c r="R60" s="171"/>
      <c r="S60" s="171"/>
      <c r="T60" s="171"/>
      <c r="U60" s="171"/>
      <c r="V60" s="171"/>
      <c r="W60" s="171"/>
      <c r="X60" s="171"/>
      <c r="Y60" s="526">
        <f t="shared" si="20"/>
        <v>0</v>
      </c>
      <c r="Z60" s="523">
        <f t="shared" si="1"/>
        <v>0</v>
      </c>
      <c r="AA60" s="171"/>
      <c r="AB60" s="171"/>
      <c r="AC60" s="171"/>
      <c r="AD60" s="171"/>
      <c r="AE60" s="172"/>
      <c r="AF60" s="528">
        <f t="shared" si="2"/>
        <v>0</v>
      </c>
      <c r="AG60" s="523">
        <f t="shared" si="3"/>
        <v>0</v>
      </c>
      <c r="AH60" s="529" t="str">
        <f t="shared" si="5"/>
        <v/>
      </c>
      <c r="AI60" s="491" t="str">
        <f>'Fund Financial Stmt Template'!$E$2</f>
        <v/>
      </c>
    </row>
    <row r="61" spans="1:35" ht="15">
      <c r="A61" s="494"/>
      <c r="B61" s="491"/>
      <c r="C61" s="532"/>
      <c r="D61" s="491"/>
      <c r="E61" s="491"/>
      <c r="F61" s="491"/>
      <c r="G61" s="491"/>
      <c r="H61" s="491"/>
      <c r="I61" s="491"/>
      <c r="J61" s="491"/>
      <c r="K61" s="491"/>
      <c r="L61" s="491"/>
      <c r="M61" s="491"/>
      <c r="N61" s="491"/>
      <c r="O61" s="533"/>
      <c r="P61" s="526"/>
      <c r="Q61" s="643"/>
      <c r="R61" s="530"/>
      <c r="S61" s="530"/>
      <c r="T61" s="530"/>
      <c r="U61" s="530"/>
      <c r="V61" s="530"/>
      <c r="W61" s="530"/>
      <c r="X61" s="530"/>
      <c r="Y61" s="526"/>
      <c r="Z61" s="523"/>
      <c r="AA61" s="530"/>
      <c r="AB61" s="530"/>
      <c r="AC61" s="530"/>
      <c r="AD61" s="530"/>
      <c r="AE61" s="531"/>
      <c r="AF61" s="491"/>
      <c r="AG61" s="525"/>
      <c r="AH61" s="529"/>
      <c r="AI61" s="491"/>
    </row>
    <row r="62" spans="1:35" ht="15">
      <c r="A62" s="494" t="s">
        <v>343</v>
      </c>
      <c r="B62" s="495" t="s">
        <v>600</v>
      </c>
      <c r="C62" s="173"/>
      <c r="D62" s="173"/>
      <c r="E62" s="173"/>
      <c r="F62" s="174"/>
      <c r="G62" s="174"/>
      <c r="H62" s="174"/>
      <c r="I62" s="174"/>
      <c r="J62" s="174"/>
      <c r="K62" s="174"/>
      <c r="L62" s="174"/>
      <c r="M62" s="174"/>
      <c r="N62" s="174"/>
      <c r="O62" s="175"/>
      <c r="P62" s="526">
        <f>IF(SUM(F62:O62)=(SUM(R62:U62)),(SUM(F62:O62)))</f>
        <v>0</v>
      </c>
      <c r="Q62" s="642">
        <f t="shared" ref="Q62:Q66" si="21">SUM(F62:O62)-SUM(R62:U62)</f>
        <v>0</v>
      </c>
      <c r="R62" s="171"/>
      <c r="S62" s="171"/>
      <c r="T62" s="171"/>
      <c r="U62" s="171"/>
      <c r="V62" s="171"/>
      <c r="W62" s="171"/>
      <c r="X62" s="171"/>
      <c r="Y62" s="526">
        <f t="shared" si="0"/>
        <v>0</v>
      </c>
      <c r="Z62" s="523">
        <f t="shared" si="1"/>
        <v>0</v>
      </c>
      <c r="AA62" s="171"/>
      <c r="AB62" s="171"/>
      <c r="AC62" s="171"/>
      <c r="AD62" s="171"/>
      <c r="AE62" s="172"/>
      <c r="AF62" s="528">
        <f t="shared" si="2"/>
        <v>0</v>
      </c>
      <c r="AG62" s="523">
        <f t="shared" si="3"/>
        <v>0</v>
      </c>
      <c r="AH62" s="529" t="str">
        <f t="shared" si="5"/>
        <v/>
      </c>
      <c r="AI62" s="491" t="str">
        <f>'Fund Financial Stmt Template'!$E$2</f>
        <v/>
      </c>
    </row>
    <row r="63" spans="1:35" ht="15">
      <c r="A63" s="494" t="s">
        <v>343</v>
      </c>
      <c r="B63" s="495" t="s">
        <v>600</v>
      </c>
      <c r="C63" s="173"/>
      <c r="D63" s="173"/>
      <c r="E63" s="173"/>
      <c r="F63" s="174"/>
      <c r="G63" s="174"/>
      <c r="H63" s="174"/>
      <c r="I63" s="174"/>
      <c r="J63" s="174"/>
      <c r="K63" s="174"/>
      <c r="L63" s="174"/>
      <c r="M63" s="174"/>
      <c r="N63" s="174"/>
      <c r="O63" s="175"/>
      <c r="P63" s="526">
        <f>IF(SUM(F63:O63)=(SUM(R63:U63)),(SUM(F63:O63)))</f>
        <v>0</v>
      </c>
      <c r="Q63" s="642">
        <f t="shared" si="21"/>
        <v>0</v>
      </c>
      <c r="R63" s="171"/>
      <c r="S63" s="171"/>
      <c r="T63" s="171"/>
      <c r="U63" s="171"/>
      <c r="V63" s="171"/>
      <c r="W63" s="171"/>
      <c r="X63" s="171"/>
      <c r="Y63" s="526">
        <f t="shared" ref="Y63:Y66" si="22">IF(SUM(R63:U63)=SUM(V63:X63), SUM(V63:X63),"Error")</f>
        <v>0</v>
      </c>
      <c r="Z63" s="523">
        <f t="shared" si="1"/>
        <v>0</v>
      </c>
      <c r="AA63" s="171"/>
      <c r="AB63" s="171"/>
      <c r="AC63" s="171"/>
      <c r="AD63" s="171"/>
      <c r="AE63" s="172"/>
      <c r="AF63" s="528">
        <f t="shared" si="2"/>
        <v>0</v>
      </c>
      <c r="AG63" s="523">
        <f t="shared" si="3"/>
        <v>0</v>
      </c>
      <c r="AH63" s="529" t="str">
        <f t="shared" si="5"/>
        <v/>
      </c>
      <c r="AI63" s="491" t="str">
        <f>'Fund Financial Stmt Template'!$E$2</f>
        <v/>
      </c>
    </row>
    <row r="64" spans="1:35" ht="15">
      <c r="A64" s="494" t="s">
        <v>343</v>
      </c>
      <c r="B64" s="495" t="s">
        <v>600</v>
      </c>
      <c r="C64" s="173"/>
      <c r="D64" s="173"/>
      <c r="E64" s="173"/>
      <c r="F64" s="174"/>
      <c r="G64" s="174"/>
      <c r="H64" s="174"/>
      <c r="I64" s="174"/>
      <c r="J64" s="174"/>
      <c r="K64" s="174"/>
      <c r="L64" s="174"/>
      <c r="M64" s="174"/>
      <c r="N64" s="174"/>
      <c r="O64" s="175"/>
      <c r="P64" s="526">
        <f>IF(SUM(F64:O64)=(SUM(R64:U64)),(SUM(F64:O64)))</f>
        <v>0</v>
      </c>
      <c r="Q64" s="642">
        <f t="shared" si="21"/>
        <v>0</v>
      </c>
      <c r="R64" s="171"/>
      <c r="S64" s="171"/>
      <c r="T64" s="171"/>
      <c r="U64" s="171"/>
      <c r="V64" s="171"/>
      <c r="W64" s="171"/>
      <c r="X64" s="171"/>
      <c r="Y64" s="526">
        <f t="shared" si="22"/>
        <v>0</v>
      </c>
      <c r="Z64" s="523">
        <f t="shared" si="1"/>
        <v>0</v>
      </c>
      <c r="AA64" s="171"/>
      <c r="AB64" s="171"/>
      <c r="AC64" s="171"/>
      <c r="AD64" s="171"/>
      <c r="AE64" s="172"/>
      <c r="AF64" s="528">
        <f t="shared" si="2"/>
        <v>0</v>
      </c>
      <c r="AG64" s="523">
        <f t="shared" si="3"/>
        <v>0</v>
      </c>
      <c r="AH64" s="529" t="str">
        <f t="shared" si="5"/>
        <v/>
      </c>
      <c r="AI64" s="491" t="str">
        <f>'Fund Financial Stmt Template'!$E$2</f>
        <v/>
      </c>
    </row>
    <row r="65" spans="1:35" ht="15">
      <c r="A65" s="494" t="s">
        <v>343</v>
      </c>
      <c r="B65" s="495" t="s">
        <v>600</v>
      </c>
      <c r="C65" s="173"/>
      <c r="D65" s="173"/>
      <c r="E65" s="173"/>
      <c r="F65" s="174"/>
      <c r="G65" s="174"/>
      <c r="H65" s="174"/>
      <c r="I65" s="174"/>
      <c r="J65" s="174"/>
      <c r="K65" s="174"/>
      <c r="L65" s="174"/>
      <c r="M65" s="174"/>
      <c r="N65" s="174"/>
      <c r="O65" s="175"/>
      <c r="P65" s="526">
        <f>IF(SUM(F65:O65)=(SUM(R65:U65)),(SUM(F65:O65)))</f>
        <v>0</v>
      </c>
      <c r="Q65" s="642">
        <f t="shared" si="21"/>
        <v>0</v>
      </c>
      <c r="R65" s="171"/>
      <c r="S65" s="171"/>
      <c r="T65" s="171"/>
      <c r="U65" s="171"/>
      <c r="V65" s="171"/>
      <c r="W65" s="171"/>
      <c r="X65" s="171"/>
      <c r="Y65" s="526">
        <f t="shared" si="22"/>
        <v>0</v>
      </c>
      <c r="Z65" s="523">
        <f t="shared" si="1"/>
        <v>0</v>
      </c>
      <c r="AA65" s="171"/>
      <c r="AB65" s="171"/>
      <c r="AC65" s="171"/>
      <c r="AD65" s="171"/>
      <c r="AE65" s="172"/>
      <c r="AF65" s="528">
        <f t="shared" si="2"/>
        <v>0</v>
      </c>
      <c r="AG65" s="523">
        <f t="shared" si="3"/>
        <v>0</v>
      </c>
      <c r="AH65" s="529" t="str">
        <f t="shared" si="5"/>
        <v/>
      </c>
      <c r="AI65" s="491" t="str">
        <f>'Fund Financial Stmt Template'!$E$2</f>
        <v/>
      </c>
    </row>
    <row r="66" spans="1:35" ht="15">
      <c r="A66" s="494" t="s">
        <v>343</v>
      </c>
      <c r="B66" s="495" t="s">
        <v>600</v>
      </c>
      <c r="C66" s="173"/>
      <c r="D66" s="173"/>
      <c r="E66" s="173"/>
      <c r="F66" s="174"/>
      <c r="G66" s="174"/>
      <c r="H66" s="174"/>
      <c r="I66" s="174"/>
      <c r="J66" s="174"/>
      <c r="K66" s="174"/>
      <c r="L66" s="174"/>
      <c r="M66" s="174"/>
      <c r="N66" s="174"/>
      <c r="O66" s="175"/>
      <c r="P66" s="526">
        <f>IF(SUM(F66:O66)=(SUM(R66:U66)),(SUM(F66:O66)))</f>
        <v>0</v>
      </c>
      <c r="Q66" s="642">
        <f t="shared" si="21"/>
        <v>0</v>
      </c>
      <c r="R66" s="171"/>
      <c r="S66" s="171"/>
      <c r="T66" s="171"/>
      <c r="U66" s="171"/>
      <c r="V66" s="171"/>
      <c r="W66" s="171"/>
      <c r="X66" s="171"/>
      <c r="Y66" s="526">
        <f t="shared" si="22"/>
        <v>0</v>
      </c>
      <c r="Z66" s="523">
        <f t="shared" si="1"/>
        <v>0</v>
      </c>
      <c r="AA66" s="171"/>
      <c r="AB66" s="171"/>
      <c r="AC66" s="171"/>
      <c r="AD66" s="171"/>
      <c r="AE66" s="172"/>
      <c r="AF66" s="528">
        <f t="shared" si="2"/>
        <v>0</v>
      </c>
      <c r="AG66" s="523">
        <f t="shared" si="3"/>
        <v>0</v>
      </c>
      <c r="AH66" s="529" t="str">
        <f t="shared" si="5"/>
        <v/>
      </c>
      <c r="AI66" s="491" t="str">
        <f>'Fund Financial Stmt Template'!$E$2</f>
        <v/>
      </c>
    </row>
    <row r="67" spans="1:35" ht="15">
      <c r="A67" s="494"/>
      <c r="B67" s="491"/>
      <c r="C67" s="532"/>
      <c r="D67" s="491"/>
      <c r="E67" s="491"/>
      <c r="F67" s="491"/>
      <c r="G67" s="491"/>
      <c r="H67" s="491"/>
      <c r="I67" s="491"/>
      <c r="J67" s="491"/>
      <c r="K67" s="491"/>
      <c r="L67" s="491"/>
      <c r="M67" s="491"/>
      <c r="N67" s="491"/>
      <c r="O67" s="533"/>
      <c r="P67" s="526"/>
      <c r="Q67" s="643"/>
      <c r="R67" s="530"/>
      <c r="S67" s="530"/>
      <c r="T67" s="530"/>
      <c r="U67" s="530"/>
      <c r="V67" s="530"/>
      <c r="W67" s="530"/>
      <c r="X67" s="530"/>
      <c r="Y67" s="526"/>
      <c r="Z67" s="523"/>
      <c r="AA67" s="530"/>
      <c r="AB67" s="530"/>
      <c r="AC67" s="530"/>
      <c r="AD67" s="530"/>
      <c r="AE67" s="531"/>
      <c r="AF67" s="491"/>
      <c r="AG67" s="525"/>
      <c r="AH67" s="529"/>
      <c r="AI67" s="491"/>
    </row>
    <row r="68" spans="1:35" ht="15">
      <c r="A68" s="494" t="s">
        <v>343</v>
      </c>
      <c r="B68" s="495" t="s">
        <v>9</v>
      </c>
      <c r="C68" s="173"/>
      <c r="D68" s="173"/>
      <c r="E68" s="173"/>
      <c r="F68" s="174"/>
      <c r="G68" s="174"/>
      <c r="H68" s="174"/>
      <c r="I68" s="174"/>
      <c r="J68" s="174"/>
      <c r="K68" s="174"/>
      <c r="L68" s="174"/>
      <c r="M68" s="174"/>
      <c r="N68" s="174"/>
      <c r="O68" s="175"/>
      <c r="P68" s="526">
        <f>IF(SUM(F68:O68)=(SUM(R68:U68)),(SUM(F68:O68)))</f>
        <v>0</v>
      </c>
      <c r="Q68" s="642">
        <f t="shared" ref="Q68:Q72" si="23">SUM(F68:O68)-SUM(R68:U68)</f>
        <v>0</v>
      </c>
      <c r="R68" s="171"/>
      <c r="S68" s="171"/>
      <c r="T68" s="171"/>
      <c r="U68" s="171"/>
      <c r="V68" s="171"/>
      <c r="W68" s="171"/>
      <c r="X68" s="171"/>
      <c r="Y68" s="526">
        <f t="shared" si="0"/>
        <v>0</v>
      </c>
      <c r="Z68" s="523">
        <f t="shared" si="1"/>
        <v>0</v>
      </c>
      <c r="AA68" s="171"/>
      <c r="AB68" s="171"/>
      <c r="AC68" s="171"/>
      <c r="AD68" s="171"/>
      <c r="AE68" s="172"/>
      <c r="AF68" s="528">
        <f t="shared" si="2"/>
        <v>0</v>
      </c>
      <c r="AG68" s="523">
        <f t="shared" si="3"/>
        <v>0</v>
      </c>
      <c r="AH68" s="529" t="str">
        <f t="shared" si="5"/>
        <v/>
      </c>
      <c r="AI68" s="491" t="str">
        <f>'Fund Financial Stmt Template'!$E$2</f>
        <v/>
      </c>
    </row>
    <row r="69" spans="1:35" ht="15">
      <c r="A69" s="494" t="s">
        <v>343</v>
      </c>
      <c r="B69" s="495" t="s">
        <v>9</v>
      </c>
      <c r="C69" s="173"/>
      <c r="D69" s="173"/>
      <c r="E69" s="173"/>
      <c r="F69" s="174"/>
      <c r="G69" s="174"/>
      <c r="H69" s="174"/>
      <c r="I69" s="174"/>
      <c r="J69" s="174"/>
      <c r="K69" s="174"/>
      <c r="L69" s="174"/>
      <c r="M69" s="174"/>
      <c r="N69" s="174"/>
      <c r="O69" s="175"/>
      <c r="P69" s="526">
        <f>IF(SUM(F69:O69)=(SUM(R69:U69)),(SUM(F69:O69)))</f>
        <v>0</v>
      </c>
      <c r="Q69" s="642">
        <f t="shared" si="23"/>
        <v>0</v>
      </c>
      <c r="R69" s="171"/>
      <c r="S69" s="171"/>
      <c r="T69" s="171"/>
      <c r="U69" s="171"/>
      <c r="V69" s="171"/>
      <c r="W69" s="171"/>
      <c r="X69" s="171"/>
      <c r="Y69" s="526">
        <f t="shared" ref="Y69:Y72" si="24">IF(SUM(R69:U69)=SUM(V69:X69), SUM(V69:X69),"Error")</f>
        <v>0</v>
      </c>
      <c r="Z69" s="523">
        <f t="shared" si="1"/>
        <v>0</v>
      </c>
      <c r="AA69" s="171"/>
      <c r="AB69" s="171"/>
      <c r="AC69" s="171"/>
      <c r="AD69" s="171"/>
      <c r="AE69" s="172"/>
      <c r="AF69" s="528">
        <f t="shared" si="2"/>
        <v>0</v>
      </c>
      <c r="AG69" s="523">
        <f t="shared" si="3"/>
        <v>0</v>
      </c>
      <c r="AH69" s="529" t="str">
        <f t="shared" si="5"/>
        <v/>
      </c>
      <c r="AI69" s="491" t="str">
        <f>'Fund Financial Stmt Template'!$E$2</f>
        <v/>
      </c>
    </row>
    <row r="70" spans="1:35" ht="15">
      <c r="A70" s="494" t="s">
        <v>343</v>
      </c>
      <c r="B70" s="495" t="s">
        <v>9</v>
      </c>
      <c r="C70" s="173"/>
      <c r="D70" s="173"/>
      <c r="E70" s="173"/>
      <c r="F70" s="174"/>
      <c r="G70" s="174"/>
      <c r="H70" s="174"/>
      <c r="I70" s="174"/>
      <c r="J70" s="174"/>
      <c r="K70" s="174"/>
      <c r="L70" s="174"/>
      <c r="M70" s="174"/>
      <c r="N70" s="174"/>
      <c r="O70" s="175"/>
      <c r="P70" s="526">
        <f>IF(SUM(F70:O70)=(SUM(R70:U70)),(SUM(F70:O70)))</f>
        <v>0</v>
      </c>
      <c r="Q70" s="642">
        <f t="shared" si="23"/>
        <v>0</v>
      </c>
      <c r="R70" s="171"/>
      <c r="S70" s="171"/>
      <c r="T70" s="171"/>
      <c r="U70" s="171"/>
      <c r="V70" s="171"/>
      <c r="W70" s="171"/>
      <c r="X70" s="171"/>
      <c r="Y70" s="526">
        <f t="shared" si="24"/>
        <v>0</v>
      </c>
      <c r="Z70" s="523">
        <f t="shared" si="1"/>
        <v>0</v>
      </c>
      <c r="AA70" s="171"/>
      <c r="AB70" s="171"/>
      <c r="AC70" s="171"/>
      <c r="AD70" s="171"/>
      <c r="AE70" s="172"/>
      <c r="AF70" s="528">
        <f t="shared" si="2"/>
        <v>0</v>
      </c>
      <c r="AG70" s="523">
        <f t="shared" si="3"/>
        <v>0</v>
      </c>
      <c r="AH70" s="529" t="str">
        <f t="shared" si="5"/>
        <v/>
      </c>
      <c r="AI70" s="491" t="str">
        <f>'Fund Financial Stmt Template'!$E$2</f>
        <v/>
      </c>
    </row>
    <row r="71" spans="1:35" ht="15">
      <c r="A71" s="494" t="s">
        <v>343</v>
      </c>
      <c r="B71" s="495" t="s">
        <v>9</v>
      </c>
      <c r="C71" s="173"/>
      <c r="D71" s="173"/>
      <c r="E71" s="173"/>
      <c r="F71" s="174"/>
      <c r="G71" s="174"/>
      <c r="H71" s="174"/>
      <c r="I71" s="174"/>
      <c r="J71" s="174"/>
      <c r="K71" s="174"/>
      <c r="L71" s="174"/>
      <c r="M71" s="174"/>
      <c r="N71" s="174"/>
      <c r="O71" s="175"/>
      <c r="P71" s="526">
        <f>IF(SUM(F71:O71)=(SUM(R71:U71)),(SUM(F71:O71)))</f>
        <v>0</v>
      </c>
      <c r="Q71" s="642">
        <f t="shared" si="23"/>
        <v>0</v>
      </c>
      <c r="R71" s="171"/>
      <c r="S71" s="171"/>
      <c r="T71" s="171"/>
      <c r="U71" s="171"/>
      <c r="V71" s="171"/>
      <c r="W71" s="171"/>
      <c r="X71" s="171"/>
      <c r="Y71" s="526">
        <f t="shared" si="24"/>
        <v>0</v>
      </c>
      <c r="Z71" s="523">
        <f t="shared" si="1"/>
        <v>0</v>
      </c>
      <c r="AA71" s="171"/>
      <c r="AB71" s="171"/>
      <c r="AC71" s="171"/>
      <c r="AD71" s="171"/>
      <c r="AE71" s="172"/>
      <c r="AF71" s="528">
        <f t="shared" si="2"/>
        <v>0</v>
      </c>
      <c r="AG71" s="523">
        <f t="shared" si="3"/>
        <v>0</v>
      </c>
      <c r="AH71" s="529" t="str">
        <f t="shared" si="5"/>
        <v/>
      </c>
      <c r="AI71" s="491" t="str">
        <f>'Fund Financial Stmt Template'!$E$2</f>
        <v/>
      </c>
    </row>
    <row r="72" spans="1:35" ht="15">
      <c r="A72" s="494" t="s">
        <v>343</v>
      </c>
      <c r="B72" s="495" t="s">
        <v>9</v>
      </c>
      <c r="C72" s="173"/>
      <c r="D72" s="173"/>
      <c r="E72" s="173"/>
      <c r="F72" s="174"/>
      <c r="G72" s="174"/>
      <c r="H72" s="174"/>
      <c r="I72" s="174"/>
      <c r="J72" s="174"/>
      <c r="K72" s="174"/>
      <c r="L72" s="174"/>
      <c r="M72" s="174"/>
      <c r="N72" s="174"/>
      <c r="O72" s="175"/>
      <c r="P72" s="526">
        <f>IF(SUM(F72:O72)=(SUM(R72:U72)),(SUM(F72:O72)))</f>
        <v>0</v>
      </c>
      <c r="Q72" s="642">
        <f t="shared" si="23"/>
        <v>0</v>
      </c>
      <c r="R72" s="171"/>
      <c r="S72" s="171"/>
      <c r="T72" s="171"/>
      <c r="U72" s="171"/>
      <c r="V72" s="171"/>
      <c r="W72" s="171"/>
      <c r="X72" s="171"/>
      <c r="Y72" s="526">
        <f t="shared" si="24"/>
        <v>0</v>
      </c>
      <c r="Z72" s="523">
        <f t="shared" si="1"/>
        <v>0</v>
      </c>
      <c r="AA72" s="171"/>
      <c r="AB72" s="171"/>
      <c r="AC72" s="171"/>
      <c r="AD72" s="171"/>
      <c r="AE72" s="172"/>
      <c r="AF72" s="528">
        <f t="shared" si="2"/>
        <v>0</v>
      </c>
      <c r="AG72" s="523">
        <f t="shared" si="3"/>
        <v>0</v>
      </c>
      <c r="AH72" s="529" t="str">
        <f t="shared" si="5"/>
        <v/>
      </c>
      <c r="AI72" s="491" t="str">
        <f>'Fund Financial Stmt Template'!$E$2</f>
        <v/>
      </c>
    </row>
    <row r="73" spans="1:35" ht="15">
      <c r="A73" s="494"/>
      <c r="B73" s="491"/>
      <c r="C73" s="532"/>
      <c r="D73" s="491"/>
      <c r="E73" s="491"/>
      <c r="F73" s="491"/>
      <c r="G73" s="491"/>
      <c r="H73" s="491"/>
      <c r="I73" s="491"/>
      <c r="J73" s="491"/>
      <c r="K73" s="491"/>
      <c r="L73" s="491"/>
      <c r="M73" s="491"/>
      <c r="N73" s="491"/>
      <c r="O73" s="533"/>
      <c r="P73" s="526"/>
      <c r="Q73" s="643"/>
      <c r="R73" s="530"/>
      <c r="S73" s="530"/>
      <c r="T73" s="530"/>
      <c r="U73" s="530"/>
      <c r="V73" s="530"/>
      <c r="W73" s="530"/>
      <c r="X73" s="530"/>
      <c r="Y73" s="526"/>
      <c r="Z73" s="523"/>
      <c r="AA73" s="530"/>
      <c r="AB73" s="530"/>
      <c r="AC73" s="530"/>
      <c r="AD73" s="530"/>
      <c r="AE73" s="531"/>
      <c r="AF73" s="491"/>
      <c r="AG73" s="525"/>
      <c r="AH73" s="529"/>
      <c r="AI73" s="491"/>
    </row>
    <row r="74" spans="1:35" ht="15">
      <c r="A74" s="494" t="s">
        <v>343</v>
      </c>
      <c r="B74" s="495" t="s">
        <v>148</v>
      </c>
      <c r="C74" s="534" t="s">
        <v>149</v>
      </c>
      <c r="D74" s="491"/>
      <c r="E74" s="491"/>
      <c r="F74" s="174"/>
      <c r="G74" s="174"/>
      <c r="H74" s="174"/>
      <c r="I74" s="174"/>
      <c r="J74" s="174"/>
      <c r="K74" s="174"/>
      <c r="L74" s="174"/>
      <c r="M74" s="174"/>
      <c r="N74" s="174"/>
      <c r="O74" s="175"/>
      <c r="P74" s="526">
        <f t="shared" ref="P74:P79" si="25">IF(SUM(F74:O74)=(SUM(R74:U74)),(SUM(F74:O74)))</f>
        <v>0</v>
      </c>
      <c r="Q74" s="642">
        <f t="shared" ref="Q74:Q79" si="26">SUM(F74:O74)-SUM(R74:U74)</f>
        <v>0</v>
      </c>
      <c r="R74" s="171"/>
      <c r="S74" s="171"/>
      <c r="T74" s="171"/>
      <c r="U74" s="171"/>
      <c r="V74" s="171"/>
      <c r="W74" s="171"/>
      <c r="X74" s="171"/>
      <c r="Y74" s="526">
        <f t="shared" si="0"/>
        <v>0</v>
      </c>
      <c r="Z74" s="523">
        <f t="shared" si="1"/>
        <v>0</v>
      </c>
      <c r="AA74" s="171"/>
      <c r="AB74" s="171"/>
      <c r="AC74" s="171"/>
      <c r="AD74" s="171"/>
      <c r="AE74" s="172"/>
      <c r="AF74" s="528">
        <f t="shared" si="2"/>
        <v>0</v>
      </c>
      <c r="AG74" s="523">
        <f t="shared" si="3"/>
        <v>0</v>
      </c>
      <c r="AH74" s="529" t="str">
        <f t="shared" si="5"/>
        <v/>
      </c>
      <c r="AI74" s="491" t="str">
        <f>'Fund Financial Stmt Template'!$E$2</f>
        <v/>
      </c>
    </row>
    <row r="75" spans="1:35" ht="15">
      <c r="A75" s="494" t="s">
        <v>343</v>
      </c>
      <c r="B75" s="495" t="s">
        <v>148</v>
      </c>
      <c r="C75" s="534" t="s">
        <v>149</v>
      </c>
      <c r="D75" s="491"/>
      <c r="E75" s="491"/>
      <c r="F75" s="174"/>
      <c r="G75" s="174"/>
      <c r="H75" s="174"/>
      <c r="I75" s="174"/>
      <c r="J75" s="174"/>
      <c r="K75" s="174"/>
      <c r="L75" s="174"/>
      <c r="M75" s="174"/>
      <c r="N75" s="174"/>
      <c r="O75" s="175"/>
      <c r="P75" s="526">
        <f t="shared" si="25"/>
        <v>0</v>
      </c>
      <c r="Q75" s="642">
        <f t="shared" si="26"/>
        <v>0</v>
      </c>
      <c r="R75" s="171"/>
      <c r="S75" s="171"/>
      <c r="T75" s="171"/>
      <c r="U75" s="171"/>
      <c r="V75" s="171"/>
      <c r="W75" s="171"/>
      <c r="X75" s="171"/>
      <c r="Y75" s="526">
        <f t="shared" ref="Y75:Y79" si="27">IF(SUM(R75:U75)=SUM(V75:X75), SUM(V75:X75),"Error")</f>
        <v>0</v>
      </c>
      <c r="Z75" s="523">
        <f t="shared" si="1"/>
        <v>0</v>
      </c>
      <c r="AA75" s="171"/>
      <c r="AB75" s="171"/>
      <c r="AC75" s="171"/>
      <c r="AD75" s="171"/>
      <c r="AE75" s="172"/>
      <c r="AF75" s="528">
        <f t="shared" si="2"/>
        <v>0</v>
      </c>
      <c r="AG75" s="523">
        <f t="shared" si="3"/>
        <v>0</v>
      </c>
      <c r="AH75" s="529" t="str">
        <f t="shared" si="5"/>
        <v/>
      </c>
      <c r="AI75" s="491" t="str">
        <f>'Fund Financial Stmt Template'!$E$2</f>
        <v/>
      </c>
    </row>
    <row r="76" spans="1:35" ht="15">
      <c r="A76" s="494" t="s">
        <v>343</v>
      </c>
      <c r="B76" s="495" t="s">
        <v>148</v>
      </c>
      <c r="C76" s="534" t="s">
        <v>149</v>
      </c>
      <c r="D76" s="491"/>
      <c r="E76" s="491"/>
      <c r="F76" s="174"/>
      <c r="G76" s="174"/>
      <c r="H76" s="174"/>
      <c r="I76" s="174"/>
      <c r="J76" s="174"/>
      <c r="K76" s="174"/>
      <c r="L76" s="174"/>
      <c r="M76" s="174"/>
      <c r="N76" s="174"/>
      <c r="O76" s="175"/>
      <c r="P76" s="526">
        <f t="shared" si="25"/>
        <v>0</v>
      </c>
      <c r="Q76" s="642">
        <f t="shared" si="26"/>
        <v>0</v>
      </c>
      <c r="R76" s="171"/>
      <c r="S76" s="171"/>
      <c r="T76" s="171"/>
      <c r="U76" s="171"/>
      <c r="V76" s="171"/>
      <c r="W76" s="171"/>
      <c r="X76" s="171"/>
      <c r="Y76" s="526">
        <f t="shared" si="27"/>
        <v>0</v>
      </c>
      <c r="Z76" s="523">
        <f t="shared" si="1"/>
        <v>0</v>
      </c>
      <c r="AA76" s="171"/>
      <c r="AB76" s="171"/>
      <c r="AC76" s="171"/>
      <c r="AD76" s="171"/>
      <c r="AE76" s="172"/>
      <c r="AF76" s="528">
        <f t="shared" si="2"/>
        <v>0</v>
      </c>
      <c r="AG76" s="523">
        <f t="shared" si="3"/>
        <v>0</v>
      </c>
      <c r="AH76" s="529" t="str">
        <f t="shared" si="5"/>
        <v/>
      </c>
      <c r="AI76" s="491" t="str">
        <f>'Fund Financial Stmt Template'!$E$2</f>
        <v/>
      </c>
    </row>
    <row r="77" spans="1:35" ht="15">
      <c r="A77" s="494" t="s">
        <v>343</v>
      </c>
      <c r="B77" s="495" t="s">
        <v>148</v>
      </c>
      <c r="C77" s="534" t="s">
        <v>335</v>
      </c>
      <c r="D77" s="491"/>
      <c r="E77" s="491"/>
      <c r="F77" s="174"/>
      <c r="G77" s="174"/>
      <c r="H77" s="174"/>
      <c r="I77" s="174"/>
      <c r="J77" s="174"/>
      <c r="K77" s="174"/>
      <c r="L77" s="174"/>
      <c r="M77" s="174"/>
      <c r="N77" s="174"/>
      <c r="O77" s="175"/>
      <c r="P77" s="526">
        <f t="shared" si="25"/>
        <v>0</v>
      </c>
      <c r="Q77" s="642">
        <f t="shared" si="26"/>
        <v>0</v>
      </c>
      <c r="R77" s="171"/>
      <c r="S77" s="171"/>
      <c r="T77" s="171"/>
      <c r="U77" s="171"/>
      <c r="V77" s="171"/>
      <c r="W77" s="171"/>
      <c r="X77" s="171"/>
      <c r="Y77" s="526">
        <f t="shared" si="27"/>
        <v>0</v>
      </c>
      <c r="Z77" s="523">
        <f t="shared" si="1"/>
        <v>0</v>
      </c>
      <c r="AA77" s="171"/>
      <c r="AB77" s="528"/>
      <c r="AC77" s="528"/>
      <c r="AD77" s="528"/>
      <c r="AE77" s="540"/>
      <c r="AF77" s="528">
        <f t="shared" si="2"/>
        <v>0</v>
      </c>
      <c r="AG77" s="523">
        <f t="shared" si="3"/>
        <v>0</v>
      </c>
      <c r="AH77" s="529" t="str">
        <f t="shared" si="5"/>
        <v/>
      </c>
      <c r="AI77" s="491" t="str">
        <f>'Fund Financial Stmt Template'!$E$2</f>
        <v/>
      </c>
    </row>
    <row r="78" spans="1:35" ht="15">
      <c r="A78" s="494" t="s">
        <v>343</v>
      </c>
      <c r="B78" s="495" t="s">
        <v>148</v>
      </c>
      <c r="C78" s="534" t="s">
        <v>335</v>
      </c>
      <c r="D78" s="491"/>
      <c r="E78" s="491"/>
      <c r="F78" s="174"/>
      <c r="G78" s="174"/>
      <c r="H78" s="174"/>
      <c r="I78" s="174"/>
      <c r="J78" s="174"/>
      <c r="K78" s="174"/>
      <c r="L78" s="174"/>
      <c r="M78" s="174"/>
      <c r="N78" s="174"/>
      <c r="O78" s="175"/>
      <c r="P78" s="526">
        <f t="shared" si="25"/>
        <v>0</v>
      </c>
      <c r="Q78" s="642">
        <f t="shared" si="26"/>
        <v>0</v>
      </c>
      <c r="R78" s="171"/>
      <c r="S78" s="171"/>
      <c r="T78" s="171"/>
      <c r="U78" s="171"/>
      <c r="V78" s="171"/>
      <c r="W78" s="171"/>
      <c r="X78" s="171"/>
      <c r="Y78" s="526">
        <f t="shared" si="27"/>
        <v>0</v>
      </c>
      <c r="Z78" s="523">
        <f t="shared" si="1"/>
        <v>0</v>
      </c>
      <c r="AA78" s="171"/>
      <c r="AB78" s="528"/>
      <c r="AC78" s="528"/>
      <c r="AD78" s="528"/>
      <c r="AE78" s="540"/>
      <c r="AF78" s="528">
        <f t="shared" si="2"/>
        <v>0</v>
      </c>
      <c r="AG78" s="523">
        <f t="shared" si="3"/>
        <v>0</v>
      </c>
      <c r="AH78" s="529" t="str">
        <f t="shared" si="5"/>
        <v/>
      </c>
      <c r="AI78" s="491" t="str">
        <f>'Fund Financial Stmt Template'!$E$2</f>
        <v/>
      </c>
    </row>
    <row r="79" spans="1:35" ht="15">
      <c r="A79" s="494" t="s">
        <v>343</v>
      </c>
      <c r="B79" s="495" t="s">
        <v>148</v>
      </c>
      <c r="C79" s="534" t="s">
        <v>335</v>
      </c>
      <c r="D79" s="491"/>
      <c r="E79" s="491"/>
      <c r="F79" s="174"/>
      <c r="G79" s="174"/>
      <c r="H79" s="174"/>
      <c r="I79" s="174"/>
      <c r="J79" s="174"/>
      <c r="K79" s="174"/>
      <c r="L79" s="174"/>
      <c r="M79" s="174"/>
      <c r="N79" s="174"/>
      <c r="O79" s="175"/>
      <c r="P79" s="526">
        <f t="shared" si="25"/>
        <v>0</v>
      </c>
      <c r="Q79" s="642">
        <f t="shared" si="26"/>
        <v>0</v>
      </c>
      <c r="R79" s="171"/>
      <c r="S79" s="171"/>
      <c r="T79" s="171"/>
      <c r="U79" s="171"/>
      <c r="V79" s="171"/>
      <c r="W79" s="171"/>
      <c r="X79" s="171"/>
      <c r="Y79" s="526">
        <f t="shared" si="27"/>
        <v>0</v>
      </c>
      <c r="Z79" s="523">
        <f t="shared" si="1"/>
        <v>0</v>
      </c>
      <c r="AA79" s="171"/>
      <c r="AB79" s="490"/>
      <c r="AC79" s="490"/>
      <c r="AD79" s="490"/>
      <c r="AE79" s="490"/>
      <c r="AF79" s="528">
        <f t="shared" si="2"/>
        <v>0</v>
      </c>
      <c r="AG79" s="523">
        <f t="shared" si="3"/>
        <v>0</v>
      </c>
      <c r="AH79" s="529" t="str">
        <f t="shared" si="5"/>
        <v/>
      </c>
      <c r="AI79" s="491" t="str">
        <f>'Fund Financial Stmt Template'!$E$2</f>
        <v/>
      </c>
    </row>
    <row r="80" spans="1:35" ht="15">
      <c r="A80" s="494"/>
      <c r="B80" s="491"/>
      <c r="C80" s="532"/>
      <c r="D80" s="491"/>
      <c r="E80" s="491"/>
      <c r="F80" s="491"/>
      <c r="G80" s="491"/>
      <c r="H80" s="491"/>
      <c r="I80" s="491"/>
      <c r="J80" s="491"/>
      <c r="K80" s="491"/>
      <c r="L80" s="491"/>
      <c r="M80" s="491"/>
      <c r="N80" s="491"/>
      <c r="O80" s="533"/>
      <c r="P80" s="526"/>
      <c r="Q80" s="643"/>
      <c r="R80" s="530"/>
      <c r="S80" s="530"/>
      <c r="T80" s="530"/>
      <c r="U80" s="530"/>
      <c r="V80" s="536"/>
      <c r="W80" s="536"/>
      <c r="X80" s="530"/>
      <c r="Y80" s="526"/>
      <c r="Z80" s="523"/>
      <c r="AA80" s="530"/>
      <c r="AB80" s="490"/>
      <c r="AC80" s="490"/>
      <c r="AD80" s="490"/>
      <c r="AE80" s="490"/>
      <c r="AF80" s="491"/>
      <c r="AG80" s="525"/>
      <c r="AH80" s="529"/>
      <c r="AI80" s="491"/>
    </row>
    <row r="81" spans="1:35" ht="15">
      <c r="A81" s="494" t="s">
        <v>343</v>
      </c>
      <c r="B81" s="495" t="s">
        <v>150</v>
      </c>
      <c r="C81" s="173"/>
      <c r="D81" s="173"/>
      <c r="E81" s="173"/>
      <c r="F81" s="174"/>
      <c r="G81" s="174"/>
      <c r="H81" s="174"/>
      <c r="I81" s="174"/>
      <c r="J81" s="174"/>
      <c r="K81" s="174"/>
      <c r="L81" s="174"/>
      <c r="M81" s="174"/>
      <c r="N81" s="174"/>
      <c r="O81" s="174"/>
      <c r="P81" s="526">
        <f>IF(SUM(F81:O81)=(SUM(R81:U81)),(SUM(F81:O81)))</f>
        <v>0</v>
      </c>
      <c r="Q81" s="642">
        <f t="shared" ref="Q81:Q85" si="28">SUM(F81:O81)-SUM(R81:U81)</f>
        <v>0</v>
      </c>
      <c r="R81" s="171"/>
      <c r="S81" s="171"/>
      <c r="T81" s="171"/>
      <c r="U81" s="171"/>
      <c r="V81" s="536"/>
      <c r="W81" s="536"/>
      <c r="X81" s="171"/>
      <c r="Y81" s="526">
        <f t="shared" si="0"/>
        <v>0</v>
      </c>
      <c r="Z81" s="523">
        <f t="shared" si="1"/>
        <v>0</v>
      </c>
      <c r="AA81" s="171"/>
      <c r="AB81" s="171"/>
      <c r="AC81" s="171"/>
      <c r="AD81" s="171"/>
      <c r="AE81" s="172"/>
      <c r="AF81" s="528">
        <f t="shared" si="2"/>
        <v>0</v>
      </c>
      <c r="AG81" s="523">
        <f t="shared" si="3"/>
        <v>0</v>
      </c>
      <c r="AH81" s="529" t="str">
        <f t="shared" si="5"/>
        <v/>
      </c>
      <c r="AI81" s="491" t="str">
        <f>'Fund Financial Stmt Template'!$E$2</f>
        <v/>
      </c>
    </row>
    <row r="82" spans="1:35" ht="15">
      <c r="A82" s="494" t="s">
        <v>343</v>
      </c>
      <c r="B82" s="495" t="s">
        <v>150</v>
      </c>
      <c r="C82" s="173"/>
      <c r="D82" s="173"/>
      <c r="E82" s="173"/>
      <c r="F82" s="174"/>
      <c r="G82" s="174"/>
      <c r="H82" s="174"/>
      <c r="I82" s="174"/>
      <c r="J82" s="174"/>
      <c r="K82" s="174"/>
      <c r="L82" s="174"/>
      <c r="M82" s="174"/>
      <c r="N82" s="174"/>
      <c r="O82" s="174"/>
      <c r="P82" s="526">
        <f>IF(SUM(F82:O82)=(SUM(R82:U82)),(SUM(F82:O82)))</f>
        <v>0</v>
      </c>
      <c r="Q82" s="642">
        <f t="shared" si="28"/>
        <v>0</v>
      </c>
      <c r="R82" s="171"/>
      <c r="S82" s="171"/>
      <c r="T82" s="171"/>
      <c r="U82" s="171"/>
      <c r="V82" s="536"/>
      <c r="W82" s="536"/>
      <c r="X82" s="171"/>
      <c r="Y82" s="526">
        <f t="shared" ref="Y82:Y85" si="29">IF(SUM(R82:U82)=SUM(V82:X82), SUM(V82:X82),"Error")</f>
        <v>0</v>
      </c>
      <c r="Z82" s="523">
        <f t="shared" si="1"/>
        <v>0</v>
      </c>
      <c r="AA82" s="171"/>
      <c r="AB82" s="171"/>
      <c r="AC82" s="171"/>
      <c r="AD82" s="171"/>
      <c r="AE82" s="172"/>
      <c r="AF82" s="528">
        <f t="shared" si="2"/>
        <v>0</v>
      </c>
      <c r="AG82" s="523">
        <f t="shared" si="3"/>
        <v>0</v>
      </c>
      <c r="AH82" s="529" t="str">
        <f t="shared" si="5"/>
        <v/>
      </c>
      <c r="AI82" s="491" t="str">
        <f>'Fund Financial Stmt Template'!$E$2</f>
        <v/>
      </c>
    </row>
    <row r="83" spans="1:35" ht="15">
      <c r="A83" s="494" t="s">
        <v>343</v>
      </c>
      <c r="B83" s="495" t="s">
        <v>150</v>
      </c>
      <c r="C83" s="173"/>
      <c r="D83" s="173"/>
      <c r="E83" s="173"/>
      <c r="F83" s="174"/>
      <c r="G83" s="174"/>
      <c r="H83" s="174"/>
      <c r="I83" s="174"/>
      <c r="J83" s="174"/>
      <c r="K83" s="174"/>
      <c r="L83" s="174"/>
      <c r="M83" s="174"/>
      <c r="N83" s="174"/>
      <c r="O83" s="174"/>
      <c r="P83" s="526">
        <f>IF(SUM(F83:O83)=(SUM(R83:U83)),(SUM(F83:O83)))</f>
        <v>0</v>
      </c>
      <c r="Q83" s="642">
        <f t="shared" si="28"/>
        <v>0</v>
      </c>
      <c r="R83" s="171"/>
      <c r="S83" s="171"/>
      <c r="T83" s="171"/>
      <c r="U83" s="171"/>
      <c r="V83" s="536"/>
      <c r="W83" s="536"/>
      <c r="X83" s="171"/>
      <c r="Y83" s="526">
        <f t="shared" si="29"/>
        <v>0</v>
      </c>
      <c r="Z83" s="523">
        <f t="shared" si="1"/>
        <v>0</v>
      </c>
      <c r="AA83" s="171"/>
      <c r="AB83" s="171"/>
      <c r="AC83" s="171"/>
      <c r="AD83" s="171"/>
      <c r="AE83" s="172"/>
      <c r="AF83" s="528">
        <f t="shared" si="2"/>
        <v>0</v>
      </c>
      <c r="AG83" s="523">
        <f t="shared" si="3"/>
        <v>0</v>
      </c>
      <c r="AH83" s="529" t="str">
        <f t="shared" si="5"/>
        <v/>
      </c>
      <c r="AI83" s="491" t="str">
        <f>'Fund Financial Stmt Template'!$E$2</f>
        <v/>
      </c>
    </row>
    <row r="84" spans="1:35" ht="15">
      <c r="A84" s="494" t="s">
        <v>343</v>
      </c>
      <c r="B84" s="495" t="s">
        <v>150</v>
      </c>
      <c r="C84" s="173"/>
      <c r="D84" s="173"/>
      <c r="E84" s="173"/>
      <c r="F84" s="174"/>
      <c r="G84" s="174"/>
      <c r="H84" s="174"/>
      <c r="I84" s="174"/>
      <c r="J84" s="174"/>
      <c r="K84" s="174"/>
      <c r="L84" s="174"/>
      <c r="M84" s="174"/>
      <c r="N84" s="174"/>
      <c r="O84" s="174"/>
      <c r="P84" s="526">
        <f>IF(SUM(F84:O84)=(SUM(R84:U84)),(SUM(F84:O84)))</f>
        <v>0</v>
      </c>
      <c r="Q84" s="642">
        <f t="shared" si="28"/>
        <v>0</v>
      </c>
      <c r="R84" s="171"/>
      <c r="S84" s="171"/>
      <c r="T84" s="171"/>
      <c r="U84" s="171"/>
      <c r="V84" s="536"/>
      <c r="W84" s="536"/>
      <c r="X84" s="171"/>
      <c r="Y84" s="526">
        <f t="shared" si="29"/>
        <v>0</v>
      </c>
      <c r="Z84" s="523">
        <f t="shared" si="1"/>
        <v>0</v>
      </c>
      <c r="AA84" s="171"/>
      <c r="AB84" s="171"/>
      <c r="AC84" s="171"/>
      <c r="AD84" s="171"/>
      <c r="AE84" s="172"/>
      <c r="AF84" s="528">
        <f t="shared" si="2"/>
        <v>0</v>
      </c>
      <c r="AG84" s="523">
        <f t="shared" si="3"/>
        <v>0</v>
      </c>
      <c r="AH84" s="529" t="str">
        <f t="shared" si="5"/>
        <v/>
      </c>
      <c r="AI84" s="491" t="str">
        <f>'Fund Financial Stmt Template'!$E$2</f>
        <v/>
      </c>
    </row>
    <row r="85" spans="1:35" ht="15">
      <c r="A85" s="494" t="s">
        <v>343</v>
      </c>
      <c r="B85" s="495" t="s">
        <v>150</v>
      </c>
      <c r="C85" s="173"/>
      <c r="D85" s="173"/>
      <c r="E85" s="173"/>
      <c r="F85" s="174"/>
      <c r="G85" s="174"/>
      <c r="H85" s="174"/>
      <c r="I85" s="174"/>
      <c r="J85" s="174"/>
      <c r="K85" s="174"/>
      <c r="L85" s="174"/>
      <c r="M85" s="174"/>
      <c r="N85" s="174"/>
      <c r="O85" s="174"/>
      <c r="P85" s="526">
        <f>IF(SUM(F85:O85)=(SUM(R85:U85)),(SUM(F85:O85)))</f>
        <v>0</v>
      </c>
      <c r="Q85" s="642">
        <f t="shared" si="28"/>
        <v>0</v>
      </c>
      <c r="R85" s="171"/>
      <c r="S85" s="171"/>
      <c r="T85" s="171"/>
      <c r="U85" s="171"/>
      <c r="V85" s="536"/>
      <c r="W85" s="536"/>
      <c r="X85" s="171"/>
      <c r="Y85" s="526">
        <f t="shared" si="29"/>
        <v>0</v>
      </c>
      <c r="Z85" s="523">
        <f t="shared" si="1"/>
        <v>0</v>
      </c>
      <c r="AA85" s="171"/>
      <c r="AB85" s="171"/>
      <c r="AC85" s="171"/>
      <c r="AD85" s="171"/>
      <c r="AE85" s="172"/>
      <c r="AF85" s="528">
        <f t="shared" si="2"/>
        <v>0</v>
      </c>
      <c r="AG85" s="523">
        <f t="shared" si="3"/>
        <v>0</v>
      </c>
      <c r="AH85" s="529" t="str">
        <f t="shared" si="5"/>
        <v/>
      </c>
      <c r="AI85" s="491" t="str">
        <f>'Fund Financial Stmt Template'!$E$2</f>
        <v/>
      </c>
    </row>
    <row r="86" spans="1:35" ht="15">
      <c r="A86" s="494"/>
      <c r="B86" s="491"/>
      <c r="C86" s="532"/>
      <c r="D86" s="491"/>
      <c r="E86" s="491"/>
      <c r="F86" s="491"/>
      <c r="G86" s="491"/>
      <c r="H86" s="491"/>
      <c r="I86" s="491"/>
      <c r="J86" s="491"/>
      <c r="K86" s="491"/>
      <c r="L86" s="491"/>
      <c r="M86" s="491"/>
      <c r="N86" s="491"/>
      <c r="O86" s="533"/>
      <c r="P86" s="526"/>
      <c r="Q86" s="643"/>
      <c r="R86" s="530"/>
      <c r="S86" s="530"/>
      <c r="T86" s="530"/>
      <c r="U86" s="530"/>
      <c r="V86" s="536"/>
      <c r="W86" s="536"/>
      <c r="X86" s="530"/>
      <c r="Y86" s="526"/>
      <c r="Z86" s="523"/>
      <c r="AA86" s="530"/>
      <c r="AB86" s="530"/>
      <c r="AC86" s="530"/>
      <c r="AD86" s="530"/>
      <c r="AE86" s="531"/>
      <c r="AF86" s="491"/>
      <c r="AG86" s="525"/>
      <c r="AH86" s="529"/>
      <c r="AI86" s="491"/>
    </row>
    <row r="87" spans="1:35" ht="15">
      <c r="A87" s="494" t="s">
        <v>343</v>
      </c>
      <c r="B87" s="495" t="s">
        <v>151</v>
      </c>
      <c r="C87" s="173"/>
      <c r="D87" s="173"/>
      <c r="E87" s="173"/>
      <c r="F87" s="174"/>
      <c r="G87" s="174"/>
      <c r="H87" s="174"/>
      <c r="I87" s="174"/>
      <c r="J87" s="174"/>
      <c r="K87" s="174"/>
      <c r="L87" s="174"/>
      <c r="M87" s="174"/>
      <c r="N87" s="174"/>
      <c r="O87" s="174"/>
      <c r="P87" s="526">
        <f>IF(SUM(F87:O87)=(SUM(R87:U87)),(SUM(F87:O87)))</f>
        <v>0</v>
      </c>
      <c r="Q87" s="642">
        <f t="shared" ref="Q87:Q91" si="30">SUM(F87:O87)-SUM(R87:U87)</f>
        <v>0</v>
      </c>
      <c r="R87" s="171"/>
      <c r="S87" s="171"/>
      <c r="T87" s="171"/>
      <c r="U87" s="171"/>
      <c r="V87" s="171"/>
      <c r="W87" s="171"/>
      <c r="X87" s="171"/>
      <c r="Y87" s="526">
        <f t="shared" si="0"/>
        <v>0</v>
      </c>
      <c r="Z87" s="523">
        <f t="shared" si="1"/>
        <v>0</v>
      </c>
      <c r="AA87" s="171"/>
      <c r="AB87" s="171"/>
      <c r="AC87" s="171"/>
      <c r="AD87" s="171"/>
      <c r="AE87" s="172"/>
      <c r="AF87" s="528">
        <f t="shared" si="2"/>
        <v>0</v>
      </c>
      <c r="AG87" s="523">
        <f t="shared" si="3"/>
        <v>0</v>
      </c>
      <c r="AH87" s="529" t="str">
        <f t="shared" si="5"/>
        <v/>
      </c>
      <c r="AI87" s="491" t="str">
        <f>'Fund Financial Stmt Template'!$E$2</f>
        <v/>
      </c>
    </row>
    <row r="88" spans="1:35" ht="15">
      <c r="A88" s="494" t="s">
        <v>343</v>
      </c>
      <c r="B88" s="495" t="s">
        <v>151</v>
      </c>
      <c r="C88" s="173"/>
      <c r="D88" s="173"/>
      <c r="E88" s="173"/>
      <c r="F88" s="174"/>
      <c r="G88" s="174"/>
      <c r="H88" s="174"/>
      <c r="I88" s="174"/>
      <c r="J88" s="174"/>
      <c r="K88" s="174"/>
      <c r="L88" s="174"/>
      <c r="M88" s="174"/>
      <c r="N88" s="174"/>
      <c r="O88" s="174"/>
      <c r="P88" s="526">
        <f>IF(SUM(F88:O88)=(SUM(R88:U88)),(SUM(F88:O88)))</f>
        <v>0</v>
      </c>
      <c r="Q88" s="642">
        <f t="shared" si="30"/>
        <v>0</v>
      </c>
      <c r="R88" s="171"/>
      <c r="S88" s="171"/>
      <c r="T88" s="171"/>
      <c r="U88" s="171"/>
      <c r="V88" s="171"/>
      <c r="W88" s="171"/>
      <c r="X88" s="171"/>
      <c r="Y88" s="526">
        <f t="shared" ref="Y88:Y91" si="31">IF(SUM(R88:U88)=SUM(V88:X88), SUM(V88:X88),"Error")</f>
        <v>0</v>
      </c>
      <c r="Z88" s="523">
        <f t="shared" si="1"/>
        <v>0</v>
      </c>
      <c r="AA88" s="171"/>
      <c r="AB88" s="171"/>
      <c r="AC88" s="171"/>
      <c r="AD88" s="171"/>
      <c r="AE88" s="172"/>
      <c r="AF88" s="528">
        <f t="shared" si="2"/>
        <v>0</v>
      </c>
      <c r="AG88" s="523">
        <f t="shared" si="3"/>
        <v>0</v>
      </c>
      <c r="AH88" s="529" t="str">
        <f t="shared" si="5"/>
        <v/>
      </c>
      <c r="AI88" s="491" t="str">
        <f>'Fund Financial Stmt Template'!$E$2</f>
        <v/>
      </c>
    </row>
    <row r="89" spans="1:35" ht="15">
      <c r="A89" s="494" t="s">
        <v>343</v>
      </c>
      <c r="B89" s="495" t="s">
        <v>151</v>
      </c>
      <c r="C89" s="173"/>
      <c r="D89" s="173"/>
      <c r="E89" s="173"/>
      <c r="F89" s="174"/>
      <c r="G89" s="174"/>
      <c r="H89" s="174"/>
      <c r="I89" s="174"/>
      <c r="J89" s="174"/>
      <c r="K89" s="174"/>
      <c r="L89" s="174"/>
      <c r="M89" s="174"/>
      <c r="N89" s="174"/>
      <c r="O89" s="174"/>
      <c r="P89" s="526">
        <f>IF(SUM(F89:O89)=(SUM(R89:U89)),(SUM(F89:O89)))</f>
        <v>0</v>
      </c>
      <c r="Q89" s="642">
        <f t="shared" si="30"/>
        <v>0</v>
      </c>
      <c r="R89" s="171"/>
      <c r="S89" s="171"/>
      <c r="T89" s="171"/>
      <c r="U89" s="171"/>
      <c r="V89" s="171"/>
      <c r="W89" s="171"/>
      <c r="X89" s="171"/>
      <c r="Y89" s="526">
        <f t="shared" si="31"/>
        <v>0</v>
      </c>
      <c r="Z89" s="523">
        <f t="shared" si="1"/>
        <v>0</v>
      </c>
      <c r="AA89" s="171"/>
      <c r="AB89" s="171"/>
      <c r="AC89" s="171"/>
      <c r="AD89" s="171"/>
      <c r="AE89" s="172"/>
      <c r="AF89" s="528">
        <f t="shared" si="2"/>
        <v>0</v>
      </c>
      <c r="AG89" s="523">
        <f t="shared" si="3"/>
        <v>0</v>
      </c>
      <c r="AH89" s="529" t="str">
        <f t="shared" si="5"/>
        <v/>
      </c>
      <c r="AI89" s="491" t="str">
        <f>'Fund Financial Stmt Template'!$E$2</f>
        <v/>
      </c>
    </row>
    <row r="90" spans="1:35" ht="15">
      <c r="A90" s="494" t="s">
        <v>343</v>
      </c>
      <c r="B90" s="495" t="s">
        <v>151</v>
      </c>
      <c r="C90" s="173"/>
      <c r="D90" s="173"/>
      <c r="E90" s="173"/>
      <c r="F90" s="174"/>
      <c r="G90" s="174"/>
      <c r="H90" s="174"/>
      <c r="I90" s="174"/>
      <c r="J90" s="174"/>
      <c r="K90" s="174"/>
      <c r="L90" s="174"/>
      <c r="M90" s="174"/>
      <c r="N90" s="174"/>
      <c r="O90" s="174"/>
      <c r="P90" s="526">
        <f>IF(SUM(F90:O90)=(SUM(R90:U90)),(SUM(F90:O90)))</f>
        <v>0</v>
      </c>
      <c r="Q90" s="642">
        <f t="shared" si="30"/>
        <v>0</v>
      </c>
      <c r="R90" s="171"/>
      <c r="S90" s="171"/>
      <c r="T90" s="171"/>
      <c r="U90" s="171"/>
      <c r="V90" s="171"/>
      <c r="W90" s="171"/>
      <c r="X90" s="171"/>
      <c r="Y90" s="526">
        <f t="shared" si="31"/>
        <v>0</v>
      </c>
      <c r="Z90" s="523">
        <f t="shared" si="1"/>
        <v>0</v>
      </c>
      <c r="AA90" s="171"/>
      <c r="AB90" s="171"/>
      <c r="AC90" s="171"/>
      <c r="AD90" s="171"/>
      <c r="AE90" s="172"/>
      <c r="AF90" s="528">
        <f t="shared" si="2"/>
        <v>0</v>
      </c>
      <c r="AG90" s="523">
        <f t="shared" si="3"/>
        <v>0</v>
      </c>
      <c r="AH90" s="529" t="str">
        <f t="shared" si="5"/>
        <v/>
      </c>
      <c r="AI90" s="491" t="str">
        <f>'Fund Financial Stmt Template'!$E$2</f>
        <v/>
      </c>
    </row>
    <row r="91" spans="1:35" ht="15">
      <c r="A91" s="494" t="s">
        <v>343</v>
      </c>
      <c r="B91" s="495" t="s">
        <v>151</v>
      </c>
      <c r="C91" s="173"/>
      <c r="D91" s="173"/>
      <c r="E91" s="173"/>
      <c r="F91" s="174"/>
      <c r="G91" s="174"/>
      <c r="H91" s="174"/>
      <c r="I91" s="174"/>
      <c r="J91" s="174"/>
      <c r="K91" s="174"/>
      <c r="L91" s="174"/>
      <c r="M91" s="174"/>
      <c r="N91" s="174"/>
      <c r="O91" s="174"/>
      <c r="P91" s="526">
        <f>IF(SUM(F91:O91)=(SUM(R91:U91)),(SUM(F91:O91)))</f>
        <v>0</v>
      </c>
      <c r="Q91" s="642">
        <f t="shared" si="30"/>
        <v>0</v>
      </c>
      <c r="R91" s="171"/>
      <c r="S91" s="171"/>
      <c r="T91" s="171"/>
      <c r="U91" s="171"/>
      <c r="V91" s="171"/>
      <c r="W91" s="171"/>
      <c r="X91" s="171"/>
      <c r="Y91" s="526">
        <f t="shared" si="31"/>
        <v>0</v>
      </c>
      <c r="Z91" s="523">
        <f t="shared" si="1"/>
        <v>0</v>
      </c>
      <c r="AA91" s="171"/>
      <c r="AB91" s="171"/>
      <c r="AC91" s="171"/>
      <c r="AD91" s="171"/>
      <c r="AE91" s="172"/>
      <c r="AF91" s="528">
        <f t="shared" si="2"/>
        <v>0</v>
      </c>
      <c r="AG91" s="523">
        <f t="shared" si="3"/>
        <v>0</v>
      </c>
      <c r="AH91" s="529" t="str">
        <f t="shared" si="5"/>
        <v/>
      </c>
      <c r="AI91" s="491" t="str">
        <f>'Fund Financial Stmt Template'!$E$2</f>
        <v/>
      </c>
    </row>
    <row r="92" spans="1:35" ht="15">
      <c r="A92" s="494"/>
      <c r="B92" s="491"/>
      <c r="C92" s="532"/>
      <c r="D92" s="491"/>
      <c r="E92" s="491"/>
      <c r="F92" s="491"/>
      <c r="G92" s="491"/>
      <c r="H92" s="491"/>
      <c r="I92" s="491"/>
      <c r="J92" s="491"/>
      <c r="K92" s="491"/>
      <c r="L92" s="491"/>
      <c r="M92" s="491"/>
      <c r="N92" s="491"/>
      <c r="O92" s="533"/>
      <c r="P92" s="526"/>
      <c r="Q92" s="643"/>
      <c r="R92" s="530"/>
      <c r="S92" s="530"/>
      <c r="T92" s="530"/>
      <c r="U92" s="530"/>
      <c r="V92" s="530"/>
      <c r="W92" s="530"/>
      <c r="X92" s="530"/>
      <c r="Y92" s="526"/>
      <c r="Z92" s="523"/>
      <c r="AA92" s="530"/>
      <c r="AB92" s="530"/>
      <c r="AC92" s="530"/>
      <c r="AD92" s="530"/>
      <c r="AE92" s="531"/>
      <c r="AF92" s="491"/>
      <c r="AG92" s="525"/>
      <c r="AH92" s="529"/>
      <c r="AI92" s="491"/>
    </row>
    <row r="93" spans="1:35" ht="15">
      <c r="A93" s="494" t="s">
        <v>343</v>
      </c>
      <c r="B93" s="495" t="s">
        <v>152</v>
      </c>
      <c r="C93" s="173"/>
      <c r="D93" s="537"/>
      <c r="E93" s="538"/>
      <c r="F93" s="538"/>
      <c r="G93" s="538"/>
      <c r="H93" s="538"/>
      <c r="I93" s="538"/>
      <c r="J93" s="538"/>
      <c r="K93" s="538"/>
      <c r="L93" s="538"/>
      <c r="M93" s="538"/>
      <c r="N93" s="539"/>
      <c r="O93" s="174"/>
      <c r="P93" s="526">
        <f>IF(SUM(F93:O93)=(SUM(R93:U93)),(SUM(F93:O93)))</f>
        <v>0</v>
      </c>
      <c r="Q93" s="642">
        <f>SUM(F93:O93)-SUM(R93:U93)</f>
        <v>0</v>
      </c>
      <c r="R93" s="171"/>
      <c r="S93" s="171"/>
      <c r="T93" s="171"/>
      <c r="U93" s="171"/>
      <c r="V93" s="171"/>
      <c r="W93" s="171"/>
      <c r="X93" s="171"/>
      <c r="Y93" s="526">
        <f t="shared" si="0"/>
        <v>0</v>
      </c>
      <c r="Z93" s="523">
        <f t="shared" si="1"/>
        <v>0</v>
      </c>
      <c r="AA93" s="171"/>
      <c r="AB93" s="171"/>
      <c r="AC93" s="171"/>
      <c r="AD93" s="171"/>
      <c r="AE93" s="172"/>
      <c r="AF93" s="528">
        <f t="shared" si="2"/>
        <v>0</v>
      </c>
      <c r="AG93" s="523">
        <f t="shared" si="3"/>
        <v>0</v>
      </c>
      <c r="AH93" s="529" t="str">
        <f t="shared" si="5"/>
        <v/>
      </c>
      <c r="AI93" s="491" t="str">
        <f>'Fund Financial Stmt Template'!$E$2</f>
        <v/>
      </c>
    </row>
    <row r="94" spans="1:35" ht="15">
      <c r="A94" s="494"/>
      <c r="B94" s="491"/>
      <c r="C94" s="532"/>
      <c r="D94" s="491"/>
      <c r="E94" s="491"/>
      <c r="F94" s="491"/>
      <c r="G94" s="491"/>
      <c r="H94" s="491"/>
      <c r="I94" s="491"/>
      <c r="J94" s="491"/>
      <c r="K94" s="491"/>
      <c r="L94" s="491"/>
      <c r="M94" s="491"/>
      <c r="N94" s="491"/>
      <c r="O94" s="533"/>
      <c r="P94" s="526"/>
      <c r="Q94" s="643"/>
      <c r="R94" s="530"/>
      <c r="S94" s="530"/>
      <c r="T94" s="530"/>
      <c r="U94" s="530"/>
      <c r="V94" s="530"/>
      <c r="W94" s="530"/>
      <c r="X94" s="530"/>
      <c r="Y94" s="526"/>
      <c r="Z94" s="523"/>
      <c r="AA94" s="530"/>
      <c r="AB94" s="530"/>
      <c r="AC94" s="530"/>
      <c r="AD94" s="530"/>
      <c r="AE94" s="531"/>
      <c r="AF94" s="491"/>
      <c r="AG94" s="525"/>
      <c r="AH94" s="529"/>
      <c r="AI94" s="491"/>
    </row>
    <row r="95" spans="1:35" ht="15">
      <c r="A95" s="494" t="s">
        <v>343</v>
      </c>
      <c r="B95" s="495" t="s">
        <v>2825</v>
      </c>
      <c r="C95" s="173"/>
      <c r="D95" s="173"/>
      <c r="E95" s="173"/>
      <c r="F95" s="174"/>
      <c r="G95" s="174"/>
      <c r="H95" s="174"/>
      <c r="I95" s="174"/>
      <c r="J95" s="174"/>
      <c r="K95" s="174"/>
      <c r="L95" s="174"/>
      <c r="M95" s="174"/>
      <c r="N95" s="174"/>
      <c r="O95" s="174"/>
      <c r="P95" s="526">
        <f>IF(SUM(F95:O95)=(SUM(R95:U95)),(SUM(F95:O95)))</f>
        <v>0</v>
      </c>
      <c r="Q95" s="642">
        <f t="shared" ref="Q95:Q99" si="32">SUM(F95:O95)-SUM(R95:U95)</f>
        <v>0</v>
      </c>
      <c r="R95" s="171"/>
      <c r="S95" s="171"/>
      <c r="T95" s="171"/>
      <c r="U95" s="171"/>
      <c r="V95" s="171"/>
      <c r="W95" s="171"/>
      <c r="X95" s="171"/>
      <c r="Y95" s="526">
        <f t="shared" si="0"/>
        <v>0</v>
      </c>
      <c r="Z95" s="523">
        <f t="shared" si="1"/>
        <v>0</v>
      </c>
      <c r="AA95" s="171"/>
      <c r="AB95" s="171"/>
      <c r="AC95" s="171"/>
      <c r="AD95" s="171"/>
      <c r="AE95" s="172"/>
      <c r="AF95" s="528">
        <f t="shared" si="2"/>
        <v>0</v>
      </c>
      <c r="AG95" s="523">
        <f t="shared" si="3"/>
        <v>0</v>
      </c>
      <c r="AH95" s="529" t="str">
        <f t="shared" si="5"/>
        <v/>
      </c>
      <c r="AI95" s="491" t="str">
        <f>'Fund Financial Stmt Template'!$E$2</f>
        <v/>
      </c>
    </row>
    <row r="96" spans="1:35" ht="15">
      <c r="A96" s="494" t="s">
        <v>343</v>
      </c>
      <c r="B96" s="495" t="s">
        <v>2825</v>
      </c>
      <c r="C96" s="173"/>
      <c r="D96" s="173"/>
      <c r="E96" s="173"/>
      <c r="F96" s="174"/>
      <c r="G96" s="174"/>
      <c r="H96" s="174"/>
      <c r="I96" s="174"/>
      <c r="J96" s="174"/>
      <c r="K96" s="174"/>
      <c r="L96" s="174"/>
      <c r="M96" s="174"/>
      <c r="N96" s="174"/>
      <c r="O96" s="174"/>
      <c r="P96" s="526">
        <f>IF(SUM(F96:O96)=(SUM(R96:U96)),(SUM(F96:O96)))</f>
        <v>0</v>
      </c>
      <c r="Q96" s="642">
        <f t="shared" si="32"/>
        <v>0</v>
      </c>
      <c r="R96" s="171"/>
      <c r="S96" s="171"/>
      <c r="T96" s="171"/>
      <c r="U96" s="171"/>
      <c r="V96" s="171"/>
      <c r="W96" s="171"/>
      <c r="X96" s="171"/>
      <c r="Y96" s="526">
        <f t="shared" ref="Y96:Y99" si="33">IF(SUM(R96:U96)=SUM(V96:X96), SUM(V96:X96),"Error")</f>
        <v>0</v>
      </c>
      <c r="Z96" s="523">
        <f t="shared" si="1"/>
        <v>0</v>
      </c>
      <c r="AA96" s="171"/>
      <c r="AB96" s="171"/>
      <c r="AC96" s="171"/>
      <c r="AD96" s="171"/>
      <c r="AE96" s="172"/>
      <c r="AF96" s="528">
        <f t="shared" si="2"/>
        <v>0</v>
      </c>
      <c r="AG96" s="523">
        <f t="shared" si="3"/>
        <v>0</v>
      </c>
      <c r="AH96" s="529" t="str">
        <f t="shared" si="5"/>
        <v/>
      </c>
      <c r="AI96" s="491" t="str">
        <f>'Fund Financial Stmt Template'!$E$2</f>
        <v/>
      </c>
    </row>
    <row r="97" spans="1:35" ht="15">
      <c r="A97" s="494" t="s">
        <v>343</v>
      </c>
      <c r="B97" s="495" t="s">
        <v>2825</v>
      </c>
      <c r="C97" s="173"/>
      <c r="D97" s="173"/>
      <c r="E97" s="173"/>
      <c r="F97" s="174"/>
      <c r="G97" s="174"/>
      <c r="H97" s="174"/>
      <c r="I97" s="174"/>
      <c r="J97" s="174"/>
      <c r="K97" s="174"/>
      <c r="L97" s="174"/>
      <c r="M97" s="174"/>
      <c r="N97" s="174"/>
      <c r="O97" s="174"/>
      <c r="P97" s="526">
        <f>IF(SUM(F97:O97)=(SUM(R97:U97)),(SUM(F97:O97)))</f>
        <v>0</v>
      </c>
      <c r="Q97" s="642">
        <f t="shared" si="32"/>
        <v>0</v>
      </c>
      <c r="R97" s="171"/>
      <c r="S97" s="171"/>
      <c r="T97" s="171"/>
      <c r="U97" s="171"/>
      <c r="V97" s="171"/>
      <c r="W97" s="171"/>
      <c r="X97" s="171"/>
      <c r="Y97" s="526">
        <f t="shared" si="33"/>
        <v>0</v>
      </c>
      <c r="Z97" s="523">
        <f t="shared" si="1"/>
        <v>0</v>
      </c>
      <c r="AA97" s="171"/>
      <c r="AB97" s="171"/>
      <c r="AC97" s="171"/>
      <c r="AD97" s="171"/>
      <c r="AE97" s="172"/>
      <c r="AF97" s="528">
        <f t="shared" si="2"/>
        <v>0</v>
      </c>
      <c r="AG97" s="523">
        <f t="shared" si="3"/>
        <v>0</v>
      </c>
      <c r="AH97" s="529" t="str">
        <f t="shared" si="5"/>
        <v/>
      </c>
      <c r="AI97" s="491" t="str">
        <f>'Fund Financial Stmt Template'!$E$2</f>
        <v/>
      </c>
    </row>
    <row r="98" spans="1:35" ht="15">
      <c r="A98" s="494" t="s">
        <v>343</v>
      </c>
      <c r="B98" s="495" t="s">
        <v>2825</v>
      </c>
      <c r="C98" s="173"/>
      <c r="D98" s="173"/>
      <c r="E98" s="173"/>
      <c r="F98" s="174"/>
      <c r="G98" s="174"/>
      <c r="H98" s="174"/>
      <c r="I98" s="174"/>
      <c r="J98" s="174"/>
      <c r="K98" s="174"/>
      <c r="L98" s="174"/>
      <c r="M98" s="174"/>
      <c r="N98" s="174"/>
      <c r="O98" s="174"/>
      <c r="P98" s="526">
        <f>IF(SUM(F98:O98)=(SUM(R98:U98)),(SUM(F98:O98)))</f>
        <v>0</v>
      </c>
      <c r="Q98" s="642">
        <f t="shared" si="32"/>
        <v>0</v>
      </c>
      <c r="R98" s="171"/>
      <c r="S98" s="171"/>
      <c r="T98" s="171"/>
      <c r="U98" s="171"/>
      <c r="V98" s="171"/>
      <c r="W98" s="171"/>
      <c r="X98" s="171"/>
      <c r="Y98" s="526">
        <f t="shared" si="33"/>
        <v>0</v>
      </c>
      <c r="Z98" s="523">
        <f t="shared" si="1"/>
        <v>0</v>
      </c>
      <c r="AA98" s="171"/>
      <c r="AB98" s="171"/>
      <c r="AC98" s="171"/>
      <c r="AD98" s="171"/>
      <c r="AE98" s="172"/>
      <c r="AF98" s="528">
        <f t="shared" si="2"/>
        <v>0</v>
      </c>
      <c r="AG98" s="523">
        <f t="shared" si="3"/>
        <v>0</v>
      </c>
      <c r="AH98" s="529" t="str">
        <f t="shared" si="5"/>
        <v/>
      </c>
      <c r="AI98" s="491" t="str">
        <f>'Fund Financial Stmt Template'!$E$2</f>
        <v/>
      </c>
    </row>
    <row r="99" spans="1:35" ht="15">
      <c r="A99" s="494" t="s">
        <v>343</v>
      </c>
      <c r="B99" s="495" t="s">
        <v>2825</v>
      </c>
      <c r="C99" s="173"/>
      <c r="D99" s="173"/>
      <c r="E99" s="173"/>
      <c r="F99" s="174"/>
      <c r="G99" s="174"/>
      <c r="H99" s="174"/>
      <c r="I99" s="174"/>
      <c r="J99" s="174"/>
      <c r="K99" s="174"/>
      <c r="L99" s="174"/>
      <c r="M99" s="174"/>
      <c r="N99" s="174"/>
      <c r="O99" s="174"/>
      <c r="P99" s="526">
        <f>IF(SUM(F99:O99)=(SUM(R99:U99)),(SUM(F99:O99)))</f>
        <v>0</v>
      </c>
      <c r="Q99" s="642">
        <f t="shared" si="32"/>
        <v>0</v>
      </c>
      <c r="R99" s="171"/>
      <c r="S99" s="171"/>
      <c r="T99" s="171"/>
      <c r="U99" s="171"/>
      <c r="V99" s="171"/>
      <c r="W99" s="171"/>
      <c r="X99" s="171"/>
      <c r="Y99" s="526">
        <f t="shared" si="33"/>
        <v>0</v>
      </c>
      <c r="Z99" s="523">
        <f t="shared" si="1"/>
        <v>0</v>
      </c>
      <c r="AA99" s="171"/>
      <c r="AB99" s="171"/>
      <c r="AC99" s="171"/>
      <c r="AD99" s="171"/>
      <c r="AE99" s="172"/>
      <c r="AF99" s="528">
        <f t="shared" si="2"/>
        <v>0</v>
      </c>
      <c r="AG99" s="523">
        <f t="shared" si="3"/>
        <v>0</v>
      </c>
      <c r="AH99" s="529" t="str">
        <f t="shared" si="5"/>
        <v/>
      </c>
      <c r="AI99" s="491" t="str">
        <f>'Fund Financial Stmt Template'!$E$2</f>
        <v/>
      </c>
    </row>
    <row r="100" spans="1:35" ht="15">
      <c r="A100" s="494"/>
      <c r="B100" s="491"/>
      <c r="C100" s="532"/>
      <c r="D100" s="491"/>
      <c r="E100" s="491"/>
      <c r="F100" s="491"/>
      <c r="G100" s="491"/>
      <c r="H100" s="491"/>
      <c r="I100" s="491"/>
      <c r="J100" s="491"/>
      <c r="K100" s="491"/>
      <c r="L100" s="491"/>
      <c r="M100" s="491"/>
      <c r="N100" s="491"/>
      <c r="O100" s="533"/>
      <c r="P100" s="526"/>
      <c r="Q100" s="643"/>
      <c r="R100" s="530"/>
      <c r="S100" s="530"/>
      <c r="T100" s="530"/>
      <c r="U100" s="530"/>
      <c r="V100" s="530"/>
      <c r="W100" s="530"/>
      <c r="X100" s="530"/>
      <c r="Y100" s="526"/>
      <c r="Z100" s="523"/>
      <c r="AA100" s="530"/>
      <c r="AB100" s="530"/>
      <c r="AC100" s="530"/>
      <c r="AD100" s="530"/>
      <c r="AE100" s="531"/>
      <c r="AF100" s="491"/>
      <c r="AG100" s="525"/>
      <c r="AH100" s="529"/>
      <c r="AI100" s="491"/>
    </row>
    <row r="101" spans="1:35" ht="15">
      <c r="A101" s="494" t="s">
        <v>343</v>
      </c>
      <c r="B101" s="495" t="s">
        <v>2883</v>
      </c>
      <c r="C101" s="173"/>
      <c r="D101" s="173"/>
      <c r="E101" s="173"/>
      <c r="F101" s="174"/>
      <c r="G101" s="174"/>
      <c r="H101" s="174"/>
      <c r="I101" s="174"/>
      <c r="J101" s="174"/>
      <c r="K101" s="174"/>
      <c r="L101" s="174"/>
      <c r="M101" s="174"/>
      <c r="N101" s="174"/>
      <c r="O101" s="174"/>
      <c r="P101" s="526">
        <f>IF(SUM(F101:O101)=(SUM(R101:U101)),(SUM(F101:O101)))</f>
        <v>0</v>
      </c>
      <c r="Q101" s="642">
        <f t="shared" ref="Q101:Q105" si="34">SUM(F101:O101)-SUM(R101:U101)</f>
        <v>0</v>
      </c>
      <c r="R101" s="171"/>
      <c r="S101" s="171"/>
      <c r="T101" s="171"/>
      <c r="U101" s="171"/>
      <c r="V101" s="171"/>
      <c r="W101" s="171"/>
      <c r="X101" s="171"/>
      <c r="Y101" s="526">
        <f t="shared" ref="Y101:Y105" si="35">IF(SUM(R101:U101)=SUM(V101:X101), SUM(V101:X101),"Error")</f>
        <v>0</v>
      </c>
      <c r="Z101" s="523">
        <f t="shared" ref="Z101:Z105" si="36">SUM(R101:U101)-SUM(V101:X101)</f>
        <v>0</v>
      </c>
      <c r="AA101" s="171"/>
      <c r="AB101" s="171"/>
      <c r="AC101" s="171"/>
      <c r="AD101" s="171"/>
      <c r="AE101" s="172"/>
      <c r="AF101" s="528">
        <f t="shared" ref="AF101:AF105" si="37">IF(SUM(AA101:AE101)=Y101,SUM(AA101:AE101),"Error")</f>
        <v>0</v>
      </c>
      <c r="AG101" s="523">
        <f t="shared" ref="AG101:AG105" si="38">SUM(AA101:AE101)-Y101</f>
        <v>0</v>
      </c>
      <c r="AH101" s="529" t="str">
        <f t="shared" ref="AH101:AH105" si="39">IF(AND(P101=Y101,Y101=AF101),"","Error")</f>
        <v/>
      </c>
      <c r="AI101" s="491" t="str">
        <f>'Fund Financial Stmt Template'!$E$2</f>
        <v/>
      </c>
    </row>
    <row r="102" spans="1:35" ht="15">
      <c r="A102" s="494" t="s">
        <v>343</v>
      </c>
      <c r="B102" s="495" t="s">
        <v>2883</v>
      </c>
      <c r="C102" s="173"/>
      <c r="D102" s="173"/>
      <c r="E102" s="173"/>
      <c r="F102" s="174"/>
      <c r="G102" s="174"/>
      <c r="H102" s="174"/>
      <c r="I102" s="174"/>
      <c r="J102" s="174"/>
      <c r="K102" s="174"/>
      <c r="L102" s="174"/>
      <c r="M102" s="174"/>
      <c r="N102" s="174"/>
      <c r="O102" s="174"/>
      <c r="P102" s="526">
        <f>IF(SUM(F102:O102)=(SUM(R102:U102)),(SUM(F102:O102)))</f>
        <v>0</v>
      </c>
      <c r="Q102" s="642">
        <f t="shared" si="34"/>
        <v>0</v>
      </c>
      <c r="R102" s="171"/>
      <c r="S102" s="171"/>
      <c r="T102" s="171"/>
      <c r="U102" s="171"/>
      <c r="V102" s="171"/>
      <c r="W102" s="171"/>
      <c r="X102" s="171"/>
      <c r="Y102" s="526">
        <f t="shared" si="35"/>
        <v>0</v>
      </c>
      <c r="Z102" s="523">
        <f t="shared" si="36"/>
        <v>0</v>
      </c>
      <c r="AA102" s="171"/>
      <c r="AB102" s="171"/>
      <c r="AC102" s="171"/>
      <c r="AD102" s="171"/>
      <c r="AE102" s="172"/>
      <c r="AF102" s="528">
        <f t="shared" si="37"/>
        <v>0</v>
      </c>
      <c r="AG102" s="523">
        <f t="shared" si="38"/>
        <v>0</v>
      </c>
      <c r="AH102" s="529" t="str">
        <f t="shared" si="39"/>
        <v/>
      </c>
      <c r="AI102" s="491" t="str">
        <f>'Fund Financial Stmt Template'!$E$2</f>
        <v/>
      </c>
    </row>
    <row r="103" spans="1:35" ht="15">
      <c r="A103" s="494" t="s">
        <v>343</v>
      </c>
      <c r="B103" s="495" t="s">
        <v>2883</v>
      </c>
      <c r="C103" s="173"/>
      <c r="D103" s="173"/>
      <c r="E103" s="173"/>
      <c r="F103" s="174"/>
      <c r="G103" s="174"/>
      <c r="H103" s="174"/>
      <c r="I103" s="174"/>
      <c r="J103" s="174"/>
      <c r="K103" s="174"/>
      <c r="L103" s="174"/>
      <c r="M103" s="174"/>
      <c r="N103" s="174"/>
      <c r="O103" s="174"/>
      <c r="P103" s="526">
        <f>IF(SUM(F103:O103)=(SUM(R103:U103)),(SUM(F103:O103)))</f>
        <v>0</v>
      </c>
      <c r="Q103" s="642">
        <f t="shared" si="34"/>
        <v>0</v>
      </c>
      <c r="R103" s="171"/>
      <c r="S103" s="171"/>
      <c r="T103" s="171"/>
      <c r="U103" s="171"/>
      <c r="V103" s="171"/>
      <c r="W103" s="171"/>
      <c r="X103" s="171"/>
      <c r="Y103" s="526">
        <f t="shared" si="35"/>
        <v>0</v>
      </c>
      <c r="Z103" s="523">
        <f t="shared" si="36"/>
        <v>0</v>
      </c>
      <c r="AA103" s="171"/>
      <c r="AB103" s="171"/>
      <c r="AC103" s="171"/>
      <c r="AD103" s="171"/>
      <c r="AE103" s="172"/>
      <c r="AF103" s="528">
        <f t="shared" si="37"/>
        <v>0</v>
      </c>
      <c r="AG103" s="523">
        <f t="shared" si="38"/>
        <v>0</v>
      </c>
      <c r="AH103" s="529" t="str">
        <f t="shared" si="39"/>
        <v/>
      </c>
      <c r="AI103" s="491" t="str">
        <f>'Fund Financial Stmt Template'!$E$2</f>
        <v/>
      </c>
    </row>
    <row r="104" spans="1:35" ht="15">
      <c r="A104" s="494" t="s">
        <v>343</v>
      </c>
      <c r="B104" s="495" t="s">
        <v>2883</v>
      </c>
      <c r="C104" s="173"/>
      <c r="D104" s="173"/>
      <c r="E104" s="173"/>
      <c r="F104" s="174"/>
      <c r="G104" s="174"/>
      <c r="H104" s="174"/>
      <c r="I104" s="174"/>
      <c r="J104" s="174"/>
      <c r="K104" s="174"/>
      <c r="L104" s="174"/>
      <c r="M104" s="174"/>
      <c r="N104" s="174"/>
      <c r="O104" s="174"/>
      <c r="P104" s="526">
        <f>IF(SUM(F104:O104)=(SUM(R104:U104)),(SUM(F104:O104)))</f>
        <v>0</v>
      </c>
      <c r="Q104" s="642">
        <f t="shared" si="34"/>
        <v>0</v>
      </c>
      <c r="R104" s="171"/>
      <c r="S104" s="171"/>
      <c r="T104" s="171"/>
      <c r="U104" s="171"/>
      <c r="V104" s="171"/>
      <c r="W104" s="171"/>
      <c r="X104" s="171"/>
      <c r="Y104" s="526">
        <f t="shared" si="35"/>
        <v>0</v>
      </c>
      <c r="Z104" s="523">
        <f t="shared" si="36"/>
        <v>0</v>
      </c>
      <c r="AA104" s="171"/>
      <c r="AB104" s="171"/>
      <c r="AC104" s="171"/>
      <c r="AD104" s="171"/>
      <c r="AE104" s="172"/>
      <c r="AF104" s="528">
        <f t="shared" si="37"/>
        <v>0</v>
      </c>
      <c r="AG104" s="523">
        <f t="shared" si="38"/>
        <v>0</v>
      </c>
      <c r="AH104" s="529" t="str">
        <f t="shared" si="39"/>
        <v/>
      </c>
      <c r="AI104" s="491" t="str">
        <f>'Fund Financial Stmt Template'!$E$2</f>
        <v/>
      </c>
    </row>
    <row r="105" spans="1:35" ht="15">
      <c r="A105" s="494" t="s">
        <v>343</v>
      </c>
      <c r="B105" s="495" t="s">
        <v>2883</v>
      </c>
      <c r="C105" s="173"/>
      <c r="D105" s="173"/>
      <c r="E105" s="173"/>
      <c r="F105" s="174"/>
      <c r="G105" s="174"/>
      <c r="H105" s="174"/>
      <c r="I105" s="174"/>
      <c r="J105" s="174"/>
      <c r="K105" s="174"/>
      <c r="L105" s="174"/>
      <c r="M105" s="174"/>
      <c r="N105" s="174"/>
      <c r="O105" s="174"/>
      <c r="P105" s="526">
        <f>IF(SUM(F105:O105)=(SUM(R105:U105)),(SUM(F105:O105)))</f>
        <v>0</v>
      </c>
      <c r="Q105" s="642">
        <f t="shared" si="34"/>
        <v>0</v>
      </c>
      <c r="R105" s="171"/>
      <c r="S105" s="171"/>
      <c r="T105" s="171"/>
      <c r="U105" s="171"/>
      <c r="V105" s="171"/>
      <c r="W105" s="171"/>
      <c r="X105" s="171"/>
      <c r="Y105" s="526">
        <f t="shared" si="35"/>
        <v>0</v>
      </c>
      <c r="Z105" s="523">
        <f t="shared" si="36"/>
        <v>0</v>
      </c>
      <c r="AA105" s="171"/>
      <c r="AB105" s="171"/>
      <c r="AC105" s="171"/>
      <c r="AD105" s="171"/>
      <c r="AE105" s="172"/>
      <c r="AF105" s="528">
        <f t="shared" si="37"/>
        <v>0</v>
      </c>
      <c r="AG105" s="523">
        <f t="shared" si="38"/>
        <v>0</v>
      </c>
      <c r="AH105" s="529" t="str">
        <f t="shared" si="39"/>
        <v/>
      </c>
      <c r="AI105" s="491" t="str">
        <f>'Fund Financial Stmt Template'!$E$2</f>
        <v/>
      </c>
    </row>
    <row r="106" spans="1:35" ht="15">
      <c r="A106" s="494"/>
      <c r="B106" s="491"/>
      <c r="C106" s="532"/>
      <c r="D106" s="491"/>
      <c r="E106" s="491"/>
      <c r="F106" s="491"/>
      <c r="G106" s="491"/>
      <c r="H106" s="491"/>
      <c r="I106" s="491"/>
      <c r="J106" s="491"/>
      <c r="K106" s="491"/>
      <c r="L106" s="491"/>
      <c r="M106" s="491"/>
      <c r="N106" s="491"/>
      <c r="O106" s="533"/>
      <c r="P106" s="526"/>
      <c r="Q106" s="643"/>
      <c r="R106" s="530"/>
      <c r="S106" s="530"/>
      <c r="T106" s="530"/>
      <c r="U106" s="530"/>
      <c r="V106" s="530"/>
      <c r="W106" s="530"/>
      <c r="X106" s="530"/>
      <c r="Y106" s="526"/>
      <c r="Z106" s="523"/>
      <c r="AA106" s="530"/>
      <c r="AB106" s="530"/>
      <c r="AC106" s="530"/>
      <c r="AD106" s="530"/>
      <c r="AE106" s="531"/>
      <c r="AF106" s="491"/>
      <c r="AG106" s="525"/>
      <c r="AH106" s="529"/>
      <c r="AI106" s="491"/>
    </row>
    <row r="107" spans="1:35" ht="15">
      <c r="A107" s="494" t="s">
        <v>343</v>
      </c>
      <c r="B107" s="495" t="s">
        <v>336</v>
      </c>
      <c r="C107" s="173"/>
      <c r="D107" s="173"/>
      <c r="E107" s="173"/>
      <c r="F107" s="174"/>
      <c r="G107" s="174"/>
      <c r="H107" s="174"/>
      <c r="I107" s="174"/>
      <c r="J107" s="174"/>
      <c r="K107" s="174"/>
      <c r="L107" s="174"/>
      <c r="M107" s="174"/>
      <c r="N107" s="174"/>
      <c r="O107" s="174"/>
      <c r="P107" s="526">
        <f>IF(SUM(F107:O107)=(SUM(R107:U107)),(SUM(F107:O107)))</f>
        <v>0</v>
      </c>
      <c r="Q107" s="642">
        <f t="shared" ref="Q107:Q111" si="40">SUM(F107:O107)-SUM(R107:U107)</f>
        <v>0</v>
      </c>
      <c r="R107" s="171"/>
      <c r="S107" s="171"/>
      <c r="T107" s="171"/>
      <c r="U107" s="171"/>
      <c r="V107" s="171"/>
      <c r="W107" s="171"/>
      <c r="X107" s="171"/>
      <c r="Y107" s="526">
        <f t="shared" si="0"/>
        <v>0</v>
      </c>
      <c r="Z107" s="523">
        <f t="shared" si="1"/>
        <v>0</v>
      </c>
      <c r="AA107" s="171"/>
      <c r="AB107" s="171"/>
      <c r="AC107" s="171"/>
      <c r="AD107" s="171"/>
      <c r="AE107" s="172"/>
      <c r="AF107" s="528">
        <f t="shared" si="2"/>
        <v>0</v>
      </c>
      <c r="AG107" s="523">
        <f t="shared" si="3"/>
        <v>0</v>
      </c>
      <c r="AH107" s="529" t="str">
        <f t="shared" si="5"/>
        <v/>
      </c>
      <c r="AI107" s="491" t="str">
        <f>'Fund Financial Stmt Template'!$E$2</f>
        <v/>
      </c>
    </row>
    <row r="108" spans="1:35" ht="15">
      <c r="A108" s="494" t="s">
        <v>343</v>
      </c>
      <c r="B108" s="495" t="s">
        <v>336</v>
      </c>
      <c r="C108" s="173"/>
      <c r="D108" s="173"/>
      <c r="E108" s="173"/>
      <c r="F108" s="174"/>
      <c r="G108" s="174"/>
      <c r="H108" s="174"/>
      <c r="I108" s="174"/>
      <c r="J108" s="174"/>
      <c r="K108" s="174"/>
      <c r="L108" s="174"/>
      <c r="M108" s="174"/>
      <c r="N108" s="174"/>
      <c r="O108" s="174"/>
      <c r="P108" s="526">
        <f>IF(SUM(F108:O108)=(SUM(R108:U108)),(SUM(F108:O108)))</f>
        <v>0</v>
      </c>
      <c r="Q108" s="642">
        <f t="shared" si="40"/>
        <v>0</v>
      </c>
      <c r="R108" s="171"/>
      <c r="S108" s="171"/>
      <c r="T108" s="171"/>
      <c r="U108" s="171"/>
      <c r="V108" s="171"/>
      <c r="W108" s="171"/>
      <c r="X108" s="171"/>
      <c r="Y108" s="526">
        <f t="shared" ref="Y108:Y111" si="41">IF(SUM(R108:U108)=SUM(V108:X108), SUM(V108:X108),"Error")</f>
        <v>0</v>
      </c>
      <c r="Z108" s="523">
        <f t="shared" ref="Z108:Z111" si="42">SUM(R108:U108)-SUM(V108:X108)</f>
        <v>0</v>
      </c>
      <c r="AA108" s="171"/>
      <c r="AB108" s="171"/>
      <c r="AC108" s="171"/>
      <c r="AD108" s="171"/>
      <c r="AE108" s="172"/>
      <c r="AF108" s="528">
        <f t="shared" si="2"/>
        <v>0</v>
      </c>
      <c r="AG108" s="523">
        <f t="shared" si="3"/>
        <v>0</v>
      </c>
      <c r="AH108" s="529" t="str">
        <f t="shared" ref="AH108:AH111" si="43">IF(AND(P108=Y108,Y108=AF108),"","Error")</f>
        <v/>
      </c>
      <c r="AI108" s="491" t="str">
        <f>'Fund Financial Stmt Template'!$E$2</f>
        <v/>
      </c>
    </row>
    <row r="109" spans="1:35" ht="15">
      <c r="A109" s="494" t="s">
        <v>343</v>
      </c>
      <c r="B109" s="495" t="s">
        <v>336</v>
      </c>
      <c r="C109" s="173"/>
      <c r="D109" s="173"/>
      <c r="E109" s="173"/>
      <c r="F109" s="174"/>
      <c r="G109" s="174"/>
      <c r="H109" s="174"/>
      <c r="I109" s="174"/>
      <c r="J109" s="174"/>
      <c r="K109" s="174"/>
      <c r="L109" s="174"/>
      <c r="M109" s="174"/>
      <c r="N109" s="174"/>
      <c r="O109" s="174"/>
      <c r="P109" s="526">
        <f>IF(SUM(F109:O109)=(SUM(R109:U109)),(SUM(F109:O109)))</f>
        <v>0</v>
      </c>
      <c r="Q109" s="642">
        <f t="shared" si="40"/>
        <v>0</v>
      </c>
      <c r="R109" s="171"/>
      <c r="S109" s="171"/>
      <c r="T109" s="171"/>
      <c r="U109" s="171"/>
      <c r="V109" s="171"/>
      <c r="W109" s="171"/>
      <c r="X109" s="171"/>
      <c r="Y109" s="526">
        <f t="shared" si="41"/>
        <v>0</v>
      </c>
      <c r="Z109" s="523">
        <f t="shared" si="42"/>
        <v>0</v>
      </c>
      <c r="AA109" s="171"/>
      <c r="AB109" s="171"/>
      <c r="AC109" s="171"/>
      <c r="AD109" s="171"/>
      <c r="AE109" s="172"/>
      <c r="AF109" s="528">
        <f t="shared" si="2"/>
        <v>0</v>
      </c>
      <c r="AG109" s="523">
        <f t="shared" si="3"/>
        <v>0</v>
      </c>
      <c r="AH109" s="529" t="str">
        <f t="shared" si="43"/>
        <v/>
      </c>
      <c r="AI109" s="491" t="str">
        <f>'Fund Financial Stmt Template'!$E$2</f>
        <v/>
      </c>
    </row>
    <row r="110" spans="1:35" ht="15">
      <c r="A110" s="494" t="s">
        <v>343</v>
      </c>
      <c r="B110" s="495" t="s">
        <v>336</v>
      </c>
      <c r="C110" s="173"/>
      <c r="D110" s="173"/>
      <c r="E110" s="173"/>
      <c r="F110" s="174"/>
      <c r="G110" s="174"/>
      <c r="H110" s="174"/>
      <c r="I110" s="174"/>
      <c r="J110" s="174"/>
      <c r="K110" s="174"/>
      <c r="L110" s="174"/>
      <c r="M110" s="174"/>
      <c r="N110" s="174"/>
      <c r="O110" s="174"/>
      <c r="P110" s="526">
        <f>IF(SUM(F110:O110)=(SUM(R110:U110)),(SUM(F110:O110)))</f>
        <v>0</v>
      </c>
      <c r="Q110" s="642">
        <f t="shared" si="40"/>
        <v>0</v>
      </c>
      <c r="R110" s="171"/>
      <c r="S110" s="171"/>
      <c r="T110" s="171"/>
      <c r="U110" s="171"/>
      <c r="V110" s="171"/>
      <c r="W110" s="171"/>
      <c r="X110" s="171"/>
      <c r="Y110" s="526">
        <f t="shared" si="41"/>
        <v>0</v>
      </c>
      <c r="Z110" s="523">
        <f t="shared" si="42"/>
        <v>0</v>
      </c>
      <c r="AA110" s="171"/>
      <c r="AB110" s="171"/>
      <c r="AC110" s="171"/>
      <c r="AD110" s="171"/>
      <c r="AE110" s="172"/>
      <c r="AF110" s="528">
        <f t="shared" si="2"/>
        <v>0</v>
      </c>
      <c r="AG110" s="523">
        <f t="shared" si="3"/>
        <v>0</v>
      </c>
      <c r="AH110" s="529" t="str">
        <f t="shared" si="43"/>
        <v/>
      </c>
      <c r="AI110" s="491" t="str">
        <f>'Fund Financial Stmt Template'!$E$2</f>
        <v/>
      </c>
    </row>
    <row r="111" spans="1:35" ht="15">
      <c r="A111" s="494" t="s">
        <v>343</v>
      </c>
      <c r="B111" s="495" t="s">
        <v>336</v>
      </c>
      <c r="C111" s="173"/>
      <c r="D111" s="173"/>
      <c r="E111" s="173"/>
      <c r="F111" s="174"/>
      <c r="G111" s="174"/>
      <c r="H111" s="174"/>
      <c r="I111" s="174"/>
      <c r="J111" s="174"/>
      <c r="K111" s="174"/>
      <c r="L111" s="174"/>
      <c r="M111" s="174"/>
      <c r="N111" s="174"/>
      <c r="O111" s="174"/>
      <c r="P111" s="526">
        <f>IF(SUM(F111:O111)=(SUM(R111:U111)),(SUM(F111:O111)))</f>
        <v>0</v>
      </c>
      <c r="Q111" s="642">
        <f t="shared" si="40"/>
        <v>0</v>
      </c>
      <c r="R111" s="171"/>
      <c r="S111" s="171"/>
      <c r="T111" s="171"/>
      <c r="U111" s="171"/>
      <c r="V111" s="171"/>
      <c r="W111" s="171"/>
      <c r="X111" s="171"/>
      <c r="Y111" s="526">
        <f t="shared" si="41"/>
        <v>0</v>
      </c>
      <c r="Z111" s="523">
        <f t="shared" si="42"/>
        <v>0</v>
      </c>
      <c r="AA111" s="171"/>
      <c r="AB111" s="171"/>
      <c r="AC111" s="171"/>
      <c r="AD111" s="171"/>
      <c r="AE111" s="172"/>
      <c r="AF111" s="528">
        <f t="shared" si="2"/>
        <v>0</v>
      </c>
      <c r="AG111" s="523">
        <f t="shared" si="3"/>
        <v>0</v>
      </c>
      <c r="AH111" s="529" t="str">
        <f t="shared" si="43"/>
        <v/>
      </c>
      <c r="AI111" s="491" t="str">
        <f>'Fund Financial Stmt Template'!$E$2</f>
        <v/>
      </c>
    </row>
    <row r="112" spans="1:35" ht="15">
      <c r="A112" s="494"/>
      <c r="B112" s="491"/>
      <c r="C112" s="532"/>
      <c r="D112" s="491"/>
      <c r="E112" s="491"/>
      <c r="F112" s="491"/>
      <c r="G112" s="491"/>
      <c r="H112" s="491"/>
      <c r="I112" s="491"/>
      <c r="J112" s="491"/>
      <c r="K112" s="491"/>
      <c r="L112" s="491"/>
      <c r="M112" s="491"/>
      <c r="N112" s="491"/>
      <c r="O112" s="536"/>
      <c r="P112" s="536"/>
      <c r="Q112" s="643"/>
      <c r="R112" s="536"/>
      <c r="S112" s="536"/>
      <c r="T112" s="536"/>
      <c r="U112" s="536"/>
      <c r="V112" s="530"/>
      <c r="W112" s="530"/>
      <c r="X112" s="530"/>
      <c r="Y112" s="526"/>
      <c r="Z112" s="523"/>
      <c r="AA112" s="530"/>
      <c r="AB112" s="530"/>
      <c r="AC112" s="530"/>
      <c r="AD112" s="530"/>
      <c r="AE112" s="531"/>
      <c r="AF112" s="491"/>
      <c r="AG112" s="525"/>
      <c r="AH112" s="529"/>
      <c r="AI112" s="491"/>
    </row>
    <row r="113" spans="1:35" ht="15">
      <c r="A113" s="494" t="s">
        <v>344</v>
      </c>
      <c r="B113" s="495" t="s">
        <v>153</v>
      </c>
      <c r="C113" s="173"/>
      <c r="D113" s="173"/>
      <c r="E113" s="173"/>
      <c r="F113" s="535"/>
      <c r="G113" s="535"/>
      <c r="H113" s="535"/>
      <c r="I113" s="536"/>
      <c r="J113" s="536"/>
      <c r="K113" s="536"/>
      <c r="L113" s="536"/>
      <c r="M113" s="536"/>
      <c r="N113" s="536"/>
      <c r="O113" s="536"/>
      <c r="P113" s="536"/>
      <c r="Q113" s="644"/>
      <c r="R113" s="536"/>
      <c r="S113" s="536"/>
      <c r="T113" s="536"/>
      <c r="U113" s="536"/>
      <c r="V113" s="171"/>
      <c r="W113" s="171"/>
      <c r="X113" s="171"/>
      <c r="Y113" s="526">
        <f t="shared" ref="Y113:Y154" si="44">SUM(V113:X113)</f>
        <v>0</v>
      </c>
      <c r="Z113" s="527"/>
      <c r="AA113" s="171"/>
      <c r="AB113" s="171"/>
      <c r="AC113" s="171"/>
      <c r="AD113" s="171"/>
      <c r="AE113" s="172"/>
      <c r="AF113" s="528">
        <f t="shared" si="2"/>
        <v>0</v>
      </c>
      <c r="AG113" s="523">
        <f t="shared" si="3"/>
        <v>0</v>
      </c>
      <c r="AH113" s="529"/>
      <c r="AI113" s="491" t="str">
        <f>'Fund Financial Stmt Template'!$E$2</f>
        <v/>
      </c>
    </row>
    <row r="114" spans="1:35" ht="15">
      <c r="A114" s="494" t="s">
        <v>344</v>
      </c>
      <c r="B114" s="495" t="s">
        <v>153</v>
      </c>
      <c r="C114" s="173"/>
      <c r="D114" s="173"/>
      <c r="E114" s="173"/>
      <c r="F114" s="535"/>
      <c r="G114" s="535"/>
      <c r="H114" s="535"/>
      <c r="I114" s="536"/>
      <c r="J114" s="536"/>
      <c r="K114" s="536"/>
      <c r="L114" s="536"/>
      <c r="M114" s="536"/>
      <c r="N114" s="536"/>
      <c r="O114" s="536"/>
      <c r="P114" s="536"/>
      <c r="Q114" s="644"/>
      <c r="R114" s="536"/>
      <c r="S114" s="536"/>
      <c r="T114" s="536"/>
      <c r="U114" s="536"/>
      <c r="V114" s="171"/>
      <c r="W114" s="171"/>
      <c r="X114" s="171"/>
      <c r="Y114" s="526">
        <f t="shared" si="44"/>
        <v>0</v>
      </c>
      <c r="Z114" s="527"/>
      <c r="AA114" s="171"/>
      <c r="AB114" s="171"/>
      <c r="AC114" s="171"/>
      <c r="AD114" s="171"/>
      <c r="AE114" s="172"/>
      <c r="AF114" s="528">
        <f t="shared" ref="AF114:AF117" si="45">IF(SUM(AA114:AE114)=Y114,SUM(AA114:AE114),"Error")</f>
        <v>0</v>
      </c>
      <c r="AG114" s="523">
        <f t="shared" si="3"/>
        <v>0</v>
      </c>
      <c r="AH114" s="529"/>
      <c r="AI114" s="491" t="str">
        <f>'Fund Financial Stmt Template'!$E$2</f>
        <v/>
      </c>
    </row>
    <row r="115" spans="1:35" ht="15">
      <c r="A115" s="494" t="s">
        <v>344</v>
      </c>
      <c r="B115" s="495" t="s">
        <v>153</v>
      </c>
      <c r="C115" s="173"/>
      <c r="D115" s="173"/>
      <c r="E115" s="173"/>
      <c r="F115" s="535"/>
      <c r="G115" s="535"/>
      <c r="H115" s="535"/>
      <c r="I115" s="536"/>
      <c r="J115" s="536"/>
      <c r="K115" s="536"/>
      <c r="L115" s="536"/>
      <c r="M115" s="536"/>
      <c r="N115" s="536"/>
      <c r="O115" s="536"/>
      <c r="P115" s="536"/>
      <c r="Q115" s="644"/>
      <c r="R115" s="536"/>
      <c r="S115" s="536"/>
      <c r="T115" s="536"/>
      <c r="U115" s="536"/>
      <c r="V115" s="171"/>
      <c r="W115" s="171"/>
      <c r="X115" s="171"/>
      <c r="Y115" s="526">
        <f t="shared" si="44"/>
        <v>0</v>
      </c>
      <c r="Z115" s="527"/>
      <c r="AA115" s="171"/>
      <c r="AB115" s="171"/>
      <c r="AC115" s="171"/>
      <c r="AD115" s="171"/>
      <c r="AE115" s="172"/>
      <c r="AF115" s="528">
        <f t="shared" si="45"/>
        <v>0</v>
      </c>
      <c r="AG115" s="523">
        <f t="shared" si="3"/>
        <v>0</v>
      </c>
      <c r="AH115" s="529"/>
      <c r="AI115" s="491" t="str">
        <f>'Fund Financial Stmt Template'!$E$2</f>
        <v/>
      </c>
    </row>
    <row r="116" spans="1:35" ht="15">
      <c r="A116" s="494" t="s">
        <v>344</v>
      </c>
      <c r="B116" s="495" t="s">
        <v>153</v>
      </c>
      <c r="C116" s="173"/>
      <c r="D116" s="173"/>
      <c r="E116" s="173"/>
      <c r="F116" s="535"/>
      <c r="G116" s="535"/>
      <c r="H116" s="535"/>
      <c r="I116" s="536"/>
      <c r="J116" s="536"/>
      <c r="K116" s="536"/>
      <c r="L116" s="536"/>
      <c r="M116" s="536"/>
      <c r="N116" s="536"/>
      <c r="O116" s="536"/>
      <c r="P116" s="536"/>
      <c r="Q116" s="644"/>
      <c r="R116" s="536"/>
      <c r="S116" s="536"/>
      <c r="T116" s="536"/>
      <c r="U116" s="536"/>
      <c r="V116" s="171"/>
      <c r="W116" s="171"/>
      <c r="X116" s="171"/>
      <c r="Y116" s="526">
        <f t="shared" si="44"/>
        <v>0</v>
      </c>
      <c r="Z116" s="527"/>
      <c r="AA116" s="171"/>
      <c r="AB116" s="171"/>
      <c r="AC116" s="171"/>
      <c r="AD116" s="171"/>
      <c r="AE116" s="172"/>
      <c r="AF116" s="528">
        <f t="shared" si="45"/>
        <v>0</v>
      </c>
      <c r="AG116" s="523">
        <f t="shared" si="3"/>
        <v>0</v>
      </c>
      <c r="AH116" s="529"/>
      <c r="AI116" s="491" t="str">
        <f>'Fund Financial Stmt Template'!$E$2</f>
        <v/>
      </c>
    </row>
    <row r="117" spans="1:35" ht="15">
      <c r="A117" s="494" t="s">
        <v>344</v>
      </c>
      <c r="B117" s="495" t="s">
        <v>153</v>
      </c>
      <c r="C117" s="173"/>
      <c r="D117" s="173"/>
      <c r="E117" s="173"/>
      <c r="F117" s="535"/>
      <c r="G117" s="535"/>
      <c r="H117" s="535"/>
      <c r="I117" s="536"/>
      <c r="J117" s="536"/>
      <c r="K117" s="536"/>
      <c r="L117" s="536"/>
      <c r="M117" s="536"/>
      <c r="N117" s="536"/>
      <c r="O117" s="536"/>
      <c r="P117" s="536"/>
      <c r="Q117" s="644"/>
      <c r="R117" s="536"/>
      <c r="S117" s="536"/>
      <c r="T117" s="536"/>
      <c r="U117" s="536"/>
      <c r="V117" s="171"/>
      <c r="W117" s="171"/>
      <c r="X117" s="171"/>
      <c r="Y117" s="526">
        <f t="shared" si="44"/>
        <v>0</v>
      </c>
      <c r="Z117" s="527"/>
      <c r="AA117" s="171"/>
      <c r="AB117" s="171"/>
      <c r="AC117" s="171"/>
      <c r="AD117" s="171"/>
      <c r="AE117" s="172"/>
      <c r="AF117" s="528">
        <f t="shared" si="45"/>
        <v>0</v>
      </c>
      <c r="AG117" s="523">
        <f t="shared" si="3"/>
        <v>0</v>
      </c>
      <c r="AH117" s="529"/>
      <c r="AI117" s="491" t="str">
        <f>'Fund Financial Stmt Template'!$E$2</f>
        <v/>
      </c>
    </row>
    <row r="118" spans="1:35" ht="15">
      <c r="A118" s="494"/>
      <c r="B118" s="491"/>
      <c r="C118" s="532"/>
      <c r="D118" s="491"/>
      <c r="E118" s="491"/>
      <c r="F118" s="491"/>
      <c r="G118" s="491"/>
      <c r="H118" s="491"/>
      <c r="I118" s="491"/>
      <c r="J118" s="491"/>
      <c r="K118" s="491"/>
      <c r="L118" s="491"/>
      <c r="M118" s="491"/>
      <c r="N118" s="491"/>
      <c r="O118" s="536"/>
      <c r="P118" s="536"/>
      <c r="Q118" s="643"/>
      <c r="R118" s="536"/>
      <c r="S118" s="536"/>
      <c r="T118" s="536"/>
      <c r="U118" s="536"/>
      <c r="V118" s="530"/>
      <c r="W118" s="530"/>
      <c r="X118" s="530"/>
      <c r="Y118" s="526"/>
      <c r="Z118" s="523"/>
      <c r="AA118" s="530"/>
      <c r="AB118" s="530"/>
      <c r="AC118" s="530"/>
      <c r="AD118" s="530"/>
      <c r="AE118" s="531"/>
      <c r="AF118" s="491"/>
      <c r="AG118" s="525"/>
      <c r="AH118" s="529"/>
      <c r="AI118" s="491"/>
    </row>
    <row r="119" spans="1:35" ht="15">
      <c r="A119" s="494" t="s">
        <v>344</v>
      </c>
      <c r="B119" s="495" t="s">
        <v>154</v>
      </c>
      <c r="C119" s="173"/>
      <c r="D119" s="173"/>
      <c r="E119" s="173"/>
      <c r="F119" s="535"/>
      <c r="G119" s="535"/>
      <c r="H119" s="535"/>
      <c r="I119" s="536"/>
      <c r="J119" s="536"/>
      <c r="K119" s="536"/>
      <c r="L119" s="536"/>
      <c r="M119" s="536"/>
      <c r="N119" s="536"/>
      <c r="O119" s="536"/>
      <c r="P119" s="536"/>
      <c r="Q119" s="644"/>
      <c r="R119" s="536"/>
      <c r="S119" s="536"/>
      <c r="T119" s="536"/>
      <c r="U119" s="536"/>
      <c r="V119" s="171"/>
      <c r="W119" s="171"/>
      <c r="X119" s="171"/>
      <c r="Y119" s="526">
        <f t="shared" si="44"/>
        <v>0</v>
      </c>
      <c r="Z119" s="527"/>
      <c r="AA119" s="171"/>
      <c r="AB119" s="171"/>
      <c r="AC119" s="171"/>
      <c r="AD119" s="171"/>
      <c r="AE119" s="172"/>
      <c r="AF119" s="528">
        <f t="shared" si="2"/>
        <v>0</v>
      </c>
      <c r="AG119" s="523">
        <f t="shared" si="3"/>
        <v>0</v>
      </c>
      <c r="AH119" s="529"/>
      <c r="AI119" s="491" t="str">
        <f>'Fund Financial Stmt Template'!$E$2</f>
        <v/>
      </c>
    </row>
    <row r="120" spans="1:35" ht="15">
      <c r="A120" s="494" t="s">
        <v>344</v>
      </c>
      <c r="B120" s="495" t="s">
        <v>154</v>
      </c>
      <c r="C120" s="173"/>
      <c r="D120" s="173"/>
      <c r="E120" s="173"/>
      <c r="F120" s="535"/>
      <c r="G120" s="535"/>
      <c r="H120" s="535"/>
      <c r="I120" s="536"/>
      <c r="J120" s="536"/>
      <c r="K120" s="536"/>
      <c r="L120" s="536"/>
      <c r="M120" s="536"/>
      <c r="N120" s="536"/>
      <c r="O120" s="536"/>
      <c r="P120" s="536"/>
      <c r="Q120" s="644"/>
      <c r="R120" s="536"/>
      <c r="S120" s="536"/>
      <c r="T120" s="536"/>
      <c r="U120" s="536"/>
      <c r="V120" s="171"/>
      <c r="W120" s="171"/>
      <c r="X120" s="171"/>
      <c r="Y120" s="526">
        <f t="shared" si="44"/>
        <v>0</v>
      </c>
      <c r="Z120" s="527"/>
      <c r="AA120" s="171"/>
      <c r="AB120" s="171"/>
      <c r="AC120" s="171"/>
      <c r="AD120" s="171"/>
      <c r="AE120" s="172"/>
      <c r="AF120" s="528">
        <f t="shared" ref="AF120:AF123" si="46">IF(SUM(AA120:AE120)=Y120,SUM(AA120:AE120),"Error")</f>
        <v>0</v>
      </c>
      <c r="AG120" s="523">
        <f t="shared" si="3"/>
        <v>0</v>
      </c>
      <c r="AH120" s="529"/>
      <c r="AI120" s="491" t="str">
        <f>'Fund Financial Stmt Template'!$E$2</f>
        <v/>
      </c>
    </row>
    <row r="121" spans="1:35" ht="15">
      <c r="A121" s="494" t="s">
        <v>344</v>
      </c>
      <c r="B121" s="495" t="s">
        <v>154</v>
      </c>
      <c r="C121" s="173"/>
      <c r="D121" s="173"/>
      <c r="E121" s="173"/>
      <c r="F121" s="535"/>
      <c r="G121" s="535"/>
      <c r="H121" s="535"/>
      <c r="I121" s="536"/>
      <c r="J121" s="536"/>
      <c r="K121" s="536"/>
      <c r="L121" s="536"/>
      <c r="M121" s="536"/>
      <c r="N121" s="536"/>
      <c r="O121" s="536"/>
      <c r="P121" s="536"/>
      <c r="Q121" s="644"/>
      <c r="R121" s="536"/>
      <c r="S121" s="536"/>
      <c r="T121" s="536"/>
      <c r="U121" s="536"/>
      <c r="V121" s="171"/>
      <c r="W121" s="171"/>
      <c r="X121" s="171"/>
      <c r="Y121" s="526">
        <f t="shared" si="44"/>
        <v>0</v>
      </c>
      <c r="Z121" s="527"/>
      <c r="AA121" s="171"/>
      <c r="AB121" s="171"/>
      <c r="AC121" s="171"/>
      <c r="AD121" s="171"/>
      <c r="AE121" s="172"/>
      <c r="AF121" s="528">
        <f t="shared" si="46"/>
        <v>0</v>
      </c>
      <c r="AG121" s="523">
        <f t="shared" si="3"/>
        <v>0</v>
      </c>
      <c r="AH121" s="529"/>
      <c r="AI121" s="491" t="str">
        <f>'Fund Financial Stmt Template'!$E$2</f>
        <v/>
      </c>
    </row>
    <row r="122" spans="1:35" ht="15">
      <c r="A122" s="494" t="s">
        <v>344</v>
      </c>
      <c r="B122" s="495" t="s">
        <v>154</v>
      </c>
      <c r="C122" s="173"/>
      <c r="D122" s="173"/>
      <c r="E122" s="173"/>
      <c r="F122" s="535"/>
      <c r="G122" s="535"/>
      <c r="H122" s="535"/>
      <c r="I122" s="536"/>
      <c r="J122" s="536"/>
      <c r="K122" s="536"/>
      <c r="L122" s="536"/>
      <c r="M122" s="536"/>
      <c r="N122" s="536"/>
      <c r="O122" s="536"/>
      <c r="P122" s="536"/>
      <c r="Q122" s="644"/>
      <c r="R122" s="536"/>
      <c r="S122" s="536"/>
      <c r="T122" s="536"/>
      <c r="U122" s="536"/>
      <c r="V122" s="171"/>
      <c r="W122" s="171"/>
      <c r="X122" s="171"/>
      <c r="Y122" s="526">
        <f t="shared" si="44"/>
        <v>0</v>
      </c>
      <c r="Z122" s="527"/>
      <c r="AA122" s="171"/>
      <c r="AB122" s="171"/>
      <c r="AC122" s="171"/>
      <c r="AD122" s="171"/>
      <c r="AE122" s="172"/>
      <c r="AF122" s="528">
        <f t="shared" si="46"/>
        <v>0</v>
      </c>
      <c r="AG122" s="523">
        <f t="shared" si="3"/>
        <v>0</v>
      </c>
      <c r="AH122" s="529"/>
      <c r="AI122" s="491" t="str">
        <f>'Fund Financial Stmt Template'!$E$2</f>
        <v/>
      </c>
    </row>
    <row r="123" spans="1:35" ht="15">
      <c r="A123" s="494" t="s">
        <v>344</v>
      </c>
      <c r="B123" s="495" t="s">
        <v>154</v>
      </c>
      <c r="C123" s="173"/>
      <c r="D123" s="173"/>
      <c r="E123" s="173"/>
      <c r="F123" s="535"/>
      <c r="G123" s="535"/>
      <c r="H123" s="535"/>
      <c r="I123" s="536"/>
      <c r="J123" s="536"/>
      <c r="K123" s="536"/>
      <c r="L123" s="536"/>
      <c r="M123" s="536"/>
      <c r="N123" s="536"/>
      <c r="O123" s="536"/>
      <c r="P123" s="536"/>
      <c r="Q123" s="644"/>
      <c r="R123" s="536"/>
      <c r="S123" s="536"/>
      <c r="T123" s="536"/>
      <c r="U123" s="536"/>
      <c r="V123" s="171"/>
      <c r="W123" s="171"/>
      <c r="X123" s="171"/>
      <c r="Y123" s="526">
        <f t="shared" si="44"/>
        <v>0</v>
      </c>
      <c r="Z123" s="527"/>
      <c r="AA123" s="171"/>
      <c r="AB123" s="171"/>
      <c r="AC123" s="171"/>
      <c r="AD123" s="171"/>
      <c r="AE123" s="172"/>
      <c r="AF123" s="528">
        <f t="shared" si="46"/>
        <v>0</v>
      </c>
      <c r="AG123" s="523">
        <f t="shared" si="3"/>
        <v>0</v>
      </c>
      <c r="AH123" s="529"/>
      <c r="AI123" s="491" t="str">
        <f>'Fund Financial Stmt Template'!$E$2</f>
        <v/>
      </c>
    </row>
    <row r="124" spans="1:35" ht="15">
      <c r="A124" s="494"/>
      <c r="B124" s="491"/>
      <c r="C124" s="532"/>
      <c r="D124" s="491"/>
      <c r="E124" s="491"/>
      <c r="F124" s="491"/>
      <c r="G124" s="491"/>
      <c r="H124" s="491"/>
      <c r="I124" s="491"/>
      <c r="J124" s="491"/>
      <c r="K124" s="491"/>
      <c r="L124" s="491"/>
      <c r="M124" s="491"/>
      <c r="N124" s="491"/>
      <c r="O124" s="536"/>
      <c r="P124" s="536"/>
      <c r="Q124" s="643"/>
      <c r="R124" s="536"/>
      <c r="S124" s="536"/>
      <c r="T124" s="536"/>
      <c r="U124" s="536"/>
      <c r="V124" s="530"/>
      <c r="W124" s="530"/>
      <c r="X124" s="530"/>
      <c r="Y124" s="526"/>
      <c r="Z124" s="523"/>
      <c r="AA124" s="530"/>
      <c r="AB124" s="530"/>
      <c r="AC124" s="530"/>
      <c r="AD124" s="530"/>
      <c r="AE124" s="531"/>
      <c r="AF124" s="491"/>
      <c r="AG124" s="525"/>
      <c r="AH124" s="529"/>
      <c r="AI124" s="491"/>
    </row>
    <row r="125" spans="1:35" ht="15">
      <c r="A125" s="494" t="s">
        <v>344</v>
      </c>
      <c r="B125" s="495" t="s">
        <v>155</v>
      </c>
      <c r="C125" s="173"/>
      <c r="D125" s="173"/>
      <c r="E125" s="173"/>
      <c r="F125" s="535"/>
      <c r="G125" s="535"/>
      <c r="H125" s="535"/>
      <c r="I125" s="536"/>
      <c r="J125" s="536"/>
      <c r="K125" s="536"/>
      <c r="L125" s="536"/>
      <c r="M125" s="536"/>
      <c r="N125" s="536"/>
      <c r="O125" s="536"/>
      <c r="P125" s="536"/>
      <c r="Q125" s="644"/>
      <c r="R125" s="536"/>
      <c r="S125" s="536"/>
      <c r="T125" s="536"/>
      <c r="U125" s="536"/>
      <c r="V125" s="171"/>
      <c r="W125" s="171"/>
      <c r="X125" s="171"/>
      <c r="Y125" s="526">
        <f t="shared" si="44"/>
        <v>0</v>
      </c>
      <c r="Z125" s="527"/>
      <c r="AA125" s="171"/>
      <c r="AB125" s="171"/>
      <c r="AC125" s="171"/>
      <c r="AD125" s="171"/>
      <c r="AE125" s="172"/>
      <c r="AF125" s="528">
        <f t="shared" si="2"/>
        <v>0</v>
      </c>
      <c r="AG125" s="523">
        <f t="shared" si="3"/>
        <v>0</v>
      </c>
      <c r="AH125" s="529"/>
      <c r="AI125" s="491" t="str">
        <f>'Fund Financial Stmt Template'!$E$2</f>
        <v/>
      </c>
    </row>
    <row r="126" spans="1:35" ht="15">
      <c r="A126" s="494" t="s">
        <v>344</v>
      </c>
      <c r="B126" s="495" t="s">
        <v>155</v>
      </c>
      <c r="C126" s="173"/>
      <c r="D126" s="173"/>
      <c r="E126" s="173"/>
      <c r="F126" s="535"/>
      <c r="G126" s="535"/>
      <c r="H126" s="535"/>
      <c r="I126" s="536"/>
      <c r="J126" s="536"/>
      <c r="K126" s="536"/>
      <c r="L126" s="536"/>
      <c r="M126" s="536"/>
      <c r="N126" s="536"/>
      <c r="O126" s="536"/>
      <c r="P126" s="536"/>
      <c r="Q126" s="644"/>
      <c r="R126" s="536"/>
      <c r="S126" s="536"/>
      <c r="T126" s="536"/>
      <c r="U126" s="536"/>
      <c r="V126" s="171"/>
      <c r="W126" s="171"/>
      <c r="X126" s="171"/>
      <c r="Y126" s="526">
        <f t="shared" si="44"/>
        <v>0</v>
      </c>
      <c r="Z126" s="527"/>
      <c r="AA126" s="171"/>
      <c r="AB126" s="171"/>
      <c r="AC126" s="171"/>
      <c r="AD126" s="171"/>
      <c r="AE126" s="172"/>
      <c r="AF126" s="528">
        <f t="shared" ref="AF126:AF129" si="47">IF(SUM(AA126:AE126)=Y126,SUM(AA126:AE126),"Error")</f>
        <v>0</v>
      </c>
      <c r="AG126" s="523">
        <f t="shared" si="3"/>
        <v>0</v>
      </c>
      <c r="AH126" s="529"/>
      <c r="AI126" s="491" t="str">
        <f>'Fund Financial Stmt Template'!$E$2</f>
        <v/>
      </c>
    </row>
    <row r="127" spans="1:35" ht="15">
      <c r="A127" s="494" t="s">
        <v>344</v>
      </c>
      <c r="B127" s="495" t="s">
        <v>155</v>
      </c>
      <c r="C127" s="173"/>
      <c r="D127" s="173"/>
      <c r="E127" s="173"/>
      <c r="F127" s="535"/>
      <c r="G127" s="535"/>
      <c r="H127" s="535"/>
      <c r="I127" s="536"/>
      <c r="J127" s="536"/>
      <c r="K127" s="536"/>
      <c r="L127" s="536"/>
      <c r="M127" s="536"/>
      <c r="N127" s="536"/>
      <c r="O127" s="536"/>
      <c r="P127" s="536"/>
      <c r="Q127" s="644"/>
      <c r="R127" s="536"/>
      <c r="S127" s="536"/>
      <c r="T127" s="536"/>
      <c r="U127" s="536"/>
      <c r="V127" s="171"/>
      <c r="W127" s="171"/>
      <c r="X127" s="171"/>
      <c r="Y127" s="526">
        <f t="shared" si="44"/>
        <v>0</v>
      </c>
      <c r="Z127" s="527"/>
      <c r="AA127" s="171"/>
      <c r="AB127" s="171"/>
      <c r="AC127" s="171"/>
      <c r="AD127" s="171"/>
      <c r="AE127" s="172"/>
      <c r="AF127" s="528">
        <f t="shared" si="47"/>
        <v>0</v>
      </c>
      <c r="AG127" s="523">
        <f t="shared" si="3"/>
        <v>0</v>
      </c>
      <c r="AH127" s="529"/>
      <c r="AI127" s="491" t="str">
        <f>'Fund Financial Stmt Template'!$E$2</f>
        <v/>
      </c>
    </row>
    <row r="128" spans="1:35" ht="15">
      <c r="A128" s="494" t="s">
        <v>344</v>
      </c>
      <c r="B128" s="495" t="s">
        <v>155</v>
      </c>
      <c r="C128" s="173"/>
      <c r="D128" s="173"/>
      <c r="E128" s="173"/>
      <c r="F128" s="535"/>
      <c r="G128" s="535"/>
      <c r="H128" s="535"/>
      <c r="I128" s="536"/>
      <c r="J128" s="536"/>
      <c r="K128" s="536"/>
      <c r="L128" s="536"/>
      <c r="M128" s="536"/>
      <c r="N128" s="536"/>
      <c r="O128" s="536"/>
      <c r="P128" s="536"/>
      <c r="Q128" s="644"/>
      <c r="R128" s="536"/>
      <c r="S128" s="536"/>
      <c r="T128" s="536"/>
      <c r="U128" s="536"/>
      <c r="V128" s="171"/>
      <c r="W128" s="171"/>
      <c r="X128" s="171"/>
      <c r="Y128" s="526">
        <f t="shared" si="44"/>
        <v>0</v>
      </c>
      <c r="Z128" s="527"/>
      <c r="AA128" s="171"/>
      <c r="AB128" s="171"/>
      <c r="AC128" s="171"/>
      <c r="AD128" s="171"/>
      <c r="AE128" s="172"/>
      <c r="AF128" s="528">
        <f t="shared" si="47"/>
        <v>0</v>
      </c>
      <c r="AG128" s="523">
        <f t="shared" si="3"/>
        <v>0</v>
      </c>
      <c r="AH128" s="529"/>
      <c r="AI128" s="491" t="str">
        <f>'Fund Financial Stmt Template'!$E$2</f>
        <v/>
      </c>
    </row>
    <row r="129" spans="1:35" ht="15">
      <c r="A129" s="494" t="s">
        <v>344</v>
      </c>
      <c r="B129" s="495" t="s">
        <v>155</v>
      </c>
      <c r="C129" s="173"/>
      <c r="D129" s="173"/>
      <c r="E129" s="173"/>
      <c r="F129" s="535"/>
      <c r="G129" s="535"/>
      <c r="H129" s="535"/>
      <c r="I129" s="536"/>
      <c r="J129" s="536"/>
      <c r="K129" s="536"/>
      <c r="L129" s="536"/>
      <c r="M129" s="536"/>
      <c r="N129" s="536"/>
      <c r="O129" s="536"/>
      <c r="P129" s="536"/>
      <c r="Q129" s="644"/>
      <c r="R129" s="536"/>
      <c r="S129" s="536"/>
      <c r="T129" s="536"/>
      <c r="U129" s="536"/>
      <c r="V129" s="171"/>
      <c r="W129" s="171"/>
      <c r="X129" s="171"/>
      <c r="Y129" s="526">
        <f t="shared" si="44"/>
        <v>0</v>
      </c>
      <c r="Z129" s="527"/>
      <c r="AA129" s="171"/>
      <c r="AB129" s="171"/>
      <c r="AC129" s="171"/>
      <c r="AD129" s="171"/>
      <c r="AE129" s="172"/>
      <c r="AF129" s="528">
        <f t="shared" si="47"/>
        <v>0</v>
      </c>
      <c r="AG129" s="523">
        <f t="shared" si="3"/>
        <v>0</v>
      </c>
      <c r="AH129" s="529"/>
      <c r="AI129" s="491" t="str">
        <f>'Fund Financial Stmt Template'!$E$2</f>
        <v/>
      </c>
    </row>
    <row r="130" spans="1:35" ht="15">
      <c r="A130" s="494"/>
      <c r="B130" s="491"/>
      <c r="C130" s="532"/>
      <c r="D130" s="491"/>
      <c r="E130" s="491"/>
      <c r="F130" s="491"/>
      <c r="G130" s="491"/>
      <c r="H130" s="491"/>
      <c r="I130" s="491"/>
      <c r="J130" s="491"/>
      <c r="K130" s="491"/>
      <c r="L130" s="491"/>
      <c r="M130" s="491"/>
      <c r="N130" s="491"/>
      <c r="O130" s="536"/>
      <c r="P130" s="536"/>
      <c r="Q130" s="643"/>
      <c r="R130" s="536"/>
      <c r="S130" s="536"/>
      <c r="T130" s="536"/>
      <c r="U130" s="536"/>
      <c r="V130" s="530"/>
      <c r="W130" s="530"/>
      <c r="X130" s="530"/>
      <c r="Y130" s="526"/>
      <c r="Z130" s="523"/>
      <c r="AA130" s="530"/>
      <c r="AB130" s="530"/>
      <c r="AC130" s="530"/>
      <c r="AD130" s="530"/>
      <c r="AE130" s="531"/>
      <c r="AF130" s="491"/>
      <c r="AG130" s="525"/>
      <c r="AH130" s="529"/>
      <c r="AI130" s="491"/>
    </row>
    <row r="131" spans="1:35" ht="15">
      <c r="A131" s="494" t="s">
        <v>344</v>
      </c>
      <c r="B131" s="495" t="s">
        <v>3409</v>
      </c>
      <c r="C131" s="173"/>
      <c r="D131" s="173"/>
      <c r="E131" s="173"/>
      <c r="F131" s="535"/>
      <c r="G131" s="535"/>
      <c r="H131" s="535"/>
      <c r="I131" s="536"/>
      <c r="J131" s="536"/>
      <c r="K131" s="536"/>
      <c r="L131" s="536"/>
      <c r="M131" s="536"/>
      <c r="N131" s="536"/>
      <c r="O131" s="536"/>
      <c r="P131" s="536"/>
      <c r="Q131" s="644"/>
      <c r="R131" s="536"/>
      <c r="S131" s="536"/>
      <c r="T131" s="536"/>
      <c r="U131" s="536"/>
      <c r="V131" s="171"/>
      <c r="W131" s="171"/>
      <c r="X131" s="171"/>
      <c r="Y131" s="526">
        <f t="shared" ref="Y131:Y135" si="48">SUM(V131:X131)</f>
        <v>0</v>
      </c>
      <c r="Z131" s="527"/>
      <c r="AA131" s="171"/>
      <c r="AB131" s="171"/>
      <c r="AC131" s="171"/>
      <c r="AD131" s="171"/>
      <c r="AE131" s="172"/>
      <c r="AF131" s="528">
        <f t="shared" ref="AF131" si="49">IF(SUM(AA131:AE131)=Y131,SUM(AA131:AE131),"Error")</f>
        <v>0</v>
      </c>
      <c r="AG131" s="523">
        <f t="shared" ref="AG131:AG135" si="50">SUM(AA131:AE131)-Y131</f>
        <v>0</v>
      </c>
      <c r="AH131" s="529"/>
      <c r="AI131" s="491" t="str">
        <f>'Fund Financial Stmt Template'!$E$2</f>
        <v/>
      </c>
    </row>
    <row r="132" spans="1:35" ht="15">
      <c r="A132" s="494" t="s">
        <v>344</v>
      </c>
      <c r="B132" s="495" t="s">
        <v>3409</v>
      </c>
      <c r="C132" s="173"/>
      <c r="D132" s="173"/>
      <c r="E132" s="173"/>
      <c r="F132" s="535"/>
      <c r="G132" s="535"/>
      <c r="H132" s="535"/>
      <c r="I132" s="536"/>
      <c r="J132" s="536"/>
      <c r="K132" s="536"/>
      <c r="L132" s="536"/>
      <c r="M132" s="536"/>
      <c r="N132" s="536"/>
      <c r="O132" s="536"/>
      <c r="P132" s="536"/>
      <c r="Q132" s="644"/>
      <c r="R132" s="536"/>
      <c r="S132" s="536"/>
      <c r="T132" s="536"/>
      <c r="U132" s="536"/>
      <c r="V132" s="171"/>
      <c r="W132" s="171"/>
      <c r="X132" s="171"/>
      <c r="Y132" s="526">
        <f t="shared" si="48"/>
        <v>0</v>
      </c>
      <c r="Z132" s="527"/>
      <c r="AA132" s="171"/>
      <c r="AB132" s="171"/>
      <c r="AC132" s="171"/>
      <c r="AD132" s="171"/>
      <c r="AE132" s="172"/>
      <c r="AF132" s="528">
        <f t="shared" ref="AF132:AF135" si="51">IF(SUM(AA132:AE132)=Y132,SUM(AA132:AE132),"Error")</f>
        <v>0</v>
      </c>
      <c r="AG132" s="523">
        <f t="shared" si="50"/>
        <v>0</v>
      </c>
      <c r="AH132" s="529"/>
      <c r="AI132" s="491" t="str">
        <f>'Fund Financial Stmt Template'!$E$2</f>
        <v/>
      </c>
    </row>
    <row r="133" spans="1:35" ht="15">
      <c r="A133" s="494" t="s">
        <v>344</v>
      </c>
      <c r="B133" s="495" t="s">
        <v>3409</v>
      </c>
      <c r="C133" s="173"/>
      <c r="D133" s="173"/>
      <c r="E133" s="173"/>
      <c r="F133" s="535"/>
      <c r="G133" s="535"/>
      <c r="H133" s="535"/>
      <c r="I133" s="536"/>
      <c r="J133" s="536"/>
      <c r="K133" s="536"/>
      <c r="L133" s="536"/>
      <c r="M133" s="536"/>
      <c r="N133" s="536"/>
      <c r="O133" s="536"/>
      <c r="P133" s="536"/>
      <c r="Q133" s="644"/>
      <c r="R133" s="536"/>
      <c r="S133" s="536"/>
      <c r="T133" s="536"/>
      <c r="U133" s="536"/>
      <c r="V133" s="171"/>
      <c r="W133" s="171"/>
      <c r="X133" s="171"/>
      <c r="Y133" s="526">
        <f t="shared" si="48"/>
        <v>0</v>
      </c>
      <c r="Z133" s="527"/>
      <c r="AA133" s="171"/>
      <c r="AB133" s="171"/>
      <c r="AC133" s="171"/>
      <c r="AD133" s="171"/>
      <c r="AE133" s="172"/>
      <c r="AF133" s="528">
        <f t="shared" si="51"/>
        <v>0</v>
      </c>
      <c r="AG133" s="523">
        <f t="shared" si="50"/>
        <v>0</v>
      </c>
      <c r="AH133" s="529"/>
      <c r="AI133" s="491" t="str">
        <f>'Fund Financial Stmt Template'!$E$2</f>
        <v/>
      </c>
    </row>
    <row r="134" spans="1:35" ht="15">
      <c r="A134" s="494" t="s">
        <v>344</v>
      </c>
      <c r="B134" s="495" t="s">
        <v>3409</v>
      </c>
      <c r="C134" s="173"/>
      <c r="D134" s="173"/>
      <c r="E134" s="173"/>
      <c r="F134" s="535"/>
      <c r="G134" s="535"/>
      <c r="H134" s="535"/>
      <c r="I134" s="536"/>
      <c r="J134" s="536"/>
      <c r="K134" s="536"/>
      <c r="L134" s="536"/>
      <c r="M134" s="536"/>
      <c r="N134" s="536"/>
      <c r="O134" s="536"/>
      <c r="P134" s="536"/>
      <c r="Q134" s="644"/>
      <c r="R134" s="536"/>
      <c r="S134" s="536"/>
      <c r="T134" s="536"/>
      <c r="U134" s="536"/>
      <c r="V134" s="171"/>
      <c r="W134" s="171"/>
      <c r="X134" s="171"/>
      <c r="Y134" s="526">
        <f t="shared" si="48"/>
        <v>0</v>
      </c>
      <c r="Z134" s="527"/>
      <c r="AA134" s="171"/>
      <c r="AB134" s="171"/>
      <c r="AC134" s="171"/>
      <c r="AD134" s="171"/>
      <c r="AE134" s="172"/>
      <c r="AF134" s="528">
        <f t="shared" si="51"/>
        <v>0</v>
      </c>
      <c r="AG134" s="523">
        <f t="shared" si="50"/>
        <v>0</v>
      </c>
      <c r="AH134" s="529"/>
      <c r="AI134" s="491" t="str">
        <f>'Fund Financial Stmt Template'!$E$2</f>
        <v/>
      </c>
    </row>
    <row r="135" spans="1:35" ht="15">
      <c r="A135" s="494" t="s">
        <v>344</v>
      </c>
      <c r="B135" s="495" t="s">
        <v>3409</v>
      </c>
      <c r="C135" s="173"/>
      <c r="D135" s="173"/>
      <c r="E135" s="173"/>
      <c r="F135" s="535"/>
      <c r="G135" s="535"/>
      <c r="H135" s="535"/>
      <c r="I135" s="536"/>
      <c r="J135" s="536"/>
      <c r="K135" s="536"/>
      <c r="L135" s="536"/>
      <c r="M135" s="536"/>
      <c r="N135" s="536"/>
      <c r="O135" s="536"/>
      <c r="P135" s="536"/>
      <c r="Q135" s="644"/>
      <c r="R135" s="536"/>
      <c r="S135" s="536"/>
      <c r="T135" s="536"/>
      <c r="U135" s="536"/>
      <c r="V135" s="171"/>
      <c r="W135" s="171"/>
      <c r="X135" s="171"/>
      <c r="Y135" s="526">
        <f t="shared" si="48"/>
        <v>0</v>
      </c>
      <c r="Z135" s="527"/>
      <c r="AA135" s="171"/>
      <c r="AB135" s="171"/>
      <c r="AC135" s="171"/>
      <c r="AD135" s="171"/>
      <c r="AE135" s="172"/>
      <c r="AF135" s="528">
        <f t="shared" si="51"/>
        <v>0</v>
      </c>
      <c r="AG135" s="523">
        <f t="shared" si="50"/>
        <v>0</v>
      </c>
      <c r="AH135" s="529"/>
      <c r="AI135" s="491" t="str">
        <f>'Fund Financial Stmt Template'!$E$2</f>
        <v/>
      </c>
    </row>
    <row r="136" spans="1:35" ht="15">
      <c r="A136" s="494"/>
      <c r="B136" s="491"/>
      <c r="C136" s="532"/>
      <c r="D136" s="491"/>
      <c r="E136" s="491"/>
      <c r="F136" s="491"/>
      <c r="G136" s="491"/>
      <c r="H136" s="491"/>
      <c r="I136" s="491"/>
      <c r="J136" s="491"/>
      <c r="K136" s="491"/>
      <c r="L136" s="491"/>
      <c r="M136" s="491"/>
      <c r="N136" s="491"/>
      <c r="O136" s="536"/>
      <c r="P136" s="536"/>
      <c r="Q136" s="643"/>
      <c r="R136" s="536"/>
      <c r="S136" s="536"/>
      <c r="T136" s="536"/>
      <c r="U136" s="536"/>
      <c r="V136" s="530"/>
      <c r="W136" s="530"/>
      <c r="X136" s="530"/>
      <c r="Y136" s="526"/>
      <c r="Z136" s="523"/>
      <c r="AA136" s="530"/>
      <c r="AB136" s="530"/>
      <c r="AC136" s="530"/>
      <c r="AD136" s="530"/>
      <c r="AE136" s="531"/>
      <c r="AF136" s="491"/>
      <c r="AG136" s="525"/>
      <c r="AH136" s="529"/>
      <c r="AI136" s="491"/>
    </row>
    <row r="137" spans="1:35" ht="15">
      <c r="A137" s="494" t="s">
        <v>344</v>
      </c>
      <c r="B137" s="495" t="s">
        <v>156</v>
      </c>
      <c r="C137" s="173"/>
      <c r="D137" s="173"/>
      <c r="E137" s="173"/>
      <c r="F137" s="535"/>
      <c r="G137" s="535"/>
      <c r="H137" s="535"/>
      <c r="I137" s="536"/>
      <c r="J137" s="536"/>
      <c r="K137" s="536"/>
      <c r="L137" s="536"/>
      <c r="M137" s="536"/>
      <c r="N137" s="536"/>
      <c r="O137" s="536"/>
      <c r="P137" s="536"/>
      <c r="Q137" s="644"/>
      <c r="R137" s="536"/>
      <c r="S137" s="536"/>
      <c r="T137" s="536"/>
      <c r="U137" s="536"/>
      <c r="V137" s="171"/>
      <c r="W137" s="171"/>
      <c r="X137" s="171"/>
      <c r="Y137" s="526">
        <f t="shared" si="44"/>
        <v>0</v>
      </c>
      <c r="Z137" s="527"/>
      <c r="AA137" s="171"/>
      <c r="AB137" s="171"/>
      <c r="AC137" s="171"/>
      <c r="AD137" s="171"/>
      <c r="AE137" s="172"/>
      <c r="AF137" s="528">
        <f t="shared" si="2"/>
        <v>0</v>
      </c>
      <c r="AG137" s="523">
        <f t="shared" si="3"/>
        <v>0</v>
      </c>
      <c r="AH137" s="529"/>
      <c r="AI137" s="491" t="str">
        <f>'Fund Financial Stmt Template'!$E$2</f>
        <v/>
      </c>
    </row>
    <row r="138" spans="1:35" ht="15" hidden="1">
      <c r="A138" s="494" t="s">
        <v>344</v>
      </c>
      <c r="B138" s="495" t="s">
        <v>156</v>
      </c>
      <c r="C138" s="173"/>
      <c r="D138" s="173"/>
      <c r="E138" s="173"/>
      <c r="F138" s="535"/>
      <c r="G138" s="535"/>
      <c r="H138" s="535"/>
      <c r="I138" s="536"/>
      <c r="J138" s="536"/>
      <c r="K138" s="536"/>
      <c r="L138" s="536"/>
      <c r="M138" s="536"/>
      <c r="N138" s="536"/>
      <c r="O138" s="536"/>
      <c r="P138" s="536"/>
      <c r="Q138" s="644"/>
      <c r="R138" s="536"/>
      <c r="S138" s="536"/>
      <c r="T138" s="536"/>
      <c r="U138" s="536"/>
      <c r="V138" s="171"/>
      <c r="W138" s="171"/>
      <c r="X138" s="171"/>
      <c r="Y138" s="526">
        <f t="shared" si="44"/>
        <v>0</v>
      </c>
      <c r="Z138" s="527"/>
      <c r="AA138" s="171"/>
      <c r="AB138" s="171"/>
      <c r="AC138" s="171"/>
      <c r="AD138" s="171"/>
      <c r="AE138" s="172"/>
      <c r="AF138" s="528">
        <f t="shared" ref="AF138:AF142" si="52">IF(SUM(AA138:AE138)=Y138,SUM(AA138:AE138),"Error")</f>
        <v>0</v>
      </c>
      <c r="AG138" s="523">
        <f t="shared" si="3"/>
        <v>0</v>
      </c>
      <c r="AH138" s="529"/>
      <c r="AI138" s="491" t="str">
        <f>'Fund Financial Stmt Template'!$E$2</f>
        <v/>
      </c>
    </row>
    <row r="139" spans="1:35" ht="15">
      <c r="A139" s="494" t="s">
        <v>344</v>
      </c>
      <c r="B139" s="495" t="s">
        <v>156</v>
      </c>
      <c r="C139" s="173"/>
      <c r="D139" s="173"/>
      <c r="E139" s="173"/>
      <c r="F139" s="535"/>
      <c r="G139" s="535"/>
      <c r="H139" s="535"/>
      <c r="I139" s="536"/>
      <c r="J139" s="536"/>
      <c r="K139" s="536"/>
      <c r="L139" s="536"/>
      <c r="M139" s="536"/>
      <c r="N139" s="536"/>
      <c r="O139" s="536"/>
      <c r="P139" s="536"/>
      <c r="Q139" s="644"/>
      <c r="R139" s="536"/>
      <c r="S139" s="536"/>
      <c r="T139" s="536"/>
      <c r="U139" s="536"/>
      <c r="V139" s="171"/>
      <c r="W139" s="171"/>
      <c r="X139" s="171"/>
      <c r="Y139" s="526">
        <f t="shared" si="44"/>
        <v>0</v>
      </c>
      <c r="Z139" s="527"/>
      <c r="AA139" s="171"/>
      <c r="AB139" s="171"/>
      <c r="AC139" s="171"/>
      <c r="AD139" s="171"/>
      <c r="AE139" s="172"/>
      <c r="AF139" s="528">
        <f t="shared" si="52"/>
        <v>0</v>
      </c>
      <c r="AG139" s="523">
        <f t="shared" si="3"/>
        <v>0</v>
      </c>
      <c r="AH139" s="529"/>
      <c r="AI139" s="491" t="str">
        <f>'Fund Financial Stmt Template'!$E$2</f>
        <v/>
      </c>
    </row>
    <row r="140" spans="1:35" ht="15">
      <c r="A140" s="494" t="s">
        <v>344</v>
      </c>
      <c r="B140" s="495" t="s">
        <v>156</v>
      </c>
      <c r="C140" s="173"/>
      <c r="D140" s="173"/>
      <c r="E140" s="173"/>
      <c r="F140" s="535"/>
      <c r="G140" s="535"/>
      <c r="H140" s="535"/>
      <c r="I140" s="536"/>
      <c r="J140" s="536"/>
      <c r="K140" s="536"/>
      <c r="L140" s="536"/>
      <c r="M140" s="536"/>
      <c r="N140" s="536"/>
      <c r="O140" s="536"/>
      <c r="P140" s="536"/>
      <c r="Q140" s="644"/>
      <c r="R140" s="536"/>
      <c r="S140" s="536"/>
      <c r="T140" s="536"/>
      <c r="U140" s="536"/>
      <c r="V140" s="171"/>
      <c r="W140" s="171"/>
      <c r="X140" s="171"/>
      <c r="Y140" s="526">
        <f t="shared" si="44"/>
        <v>0</v>
      </c>
      <c r="Z140" s="527"/>
      <c r="AA140" s="171"/>
      <c r="AB140" s="171"/>
      <c r="AC140" s="171"/>
      <c r="AD140" s="171"/>
      <c r="AE140" s="172"/>
      <c r="AF140" s="528">
        <f t="shared" si="52"/>
        <v>0</v>
      </c>
      <c r="AG140" s="523">
        <f t="shared" si="3"/>
        <v>0</v>
      </c>
      <c r="AH140" s="529"/>
      <c r="AI140" s="491" t="str">
        <f>'Fund Financial Stmt Template'!$E$2</f>
        <v/>
      </c>
    </row>
    <row r="141" spans="1:35" ht="15">
      <c r="A141" s="494" t="s">
        <v>344</v>
      </c>
      <c r="B141" s="495" t="s">
        <v>156</v>
      </c>
      <c r="C141" s="173"/>
      <c r="D141" s="173"/>
      <c r="E141" s="173"/>
      <c r="F141" s="535"/>
      <c r="G141" s="535"/>
      <c r="H141" s="535"/>
      <c r="I141" s="536"/>
      <c r="J141" s="536"/>
      <c r="K141" s="536"/>
      <c r="L141" s="536"/>
      <c r="M141" s="536"/>
      <c r="N141" s="536"/>
      <c r="O141" s="536"/>
      <c r="P141" s="536"/>
      <c r="Q141" s="644"/>
      <c r="R141" s="536"/>
      <c r="S141" s="536"/>
      <c r="T141" s="536"/>
      <c r="U141" s="536"/>
      <c r="V141" s="171"/>
      <c r="W141" s="171"/>
      <c r="X141" s="171"/>
      <c r="Y141" s="526">
        <f t="shared" si="44"/>
        <v>0</v>
      </c>
      <c r="Z141" s="527"/>
      <c r="AA141" s="171"/>
      <c r="AB141" s="171"/>
      <c r="AC141" s="171"/>
      <c r="AD141" s="171"/>
      <c r="AE141" s="172"/>
      <c r="AF141" s="528">
        <f t="shared" si="52"/>
        <v>0</v>
      </c>
      <c r="AG141" s="523">
        <f t="shared" si="3"/>
        <v>0</v>
      </c>
      <c r="AH141" s="529"/>
      <c r="AI141" s="491" t="str">
        <f>'Fund Financial Stmt Template'!$E$2</f>
        <v/>
      </c>
    </row>
    <row r="142" spans="1:35" ht="15">
      <c r="A142" s="494" t="s">
        <v>344</v>
      </c>
      <c r="B142" s="495" t="s">
        <v>156</v>
      </c>
      <c r="C142" s="173"/>
      <c r="D142" s="173"/>
      <c r="E142" s="173"/>
      <c r="F142" s="535"/>
      <c r="G142" s="535"/>
      <c r="H142" s="535"/>
      <c r="I142" s="536"/>
      <c r="J142" s="536"/>
      <c r="K142" s="536"/>
      <c r="L142" s="536"/>
      <c r="M142" s="536"/>
      <c r="N142" s="536"/>
      <c r="O142" s="536"/>
      <c r="P142" s="536"/>
      <c r="Q142" s="644"/>
      <c r="R142" s="536"/>
      <c r="S142" s="536"/>
      <c r="T142" s="536"/>
      <c r="U142" s="536"/>
      <c r="V142" s="171"/>
      <c r="W142" s="171"/>
      <c r="X142" s="171"/>
      <c r="Y142" s="526">
        <f t="shared" si="44"/>
        <v>0</v>
      </c>
      <c r="Z142" s="527"/>
      <c r="AA142" s="171"/>
      <c r="AB142" s="171"/>
      <c r="AC142" s="171"/>
      <c r="AD142" s="171"/>
      <c r="AE142" s="172"/>
      <c r="AF142" s="528">
        <f t="shared" si="52"/>
        <v>0</v>
      </c>
      <c r="AG142" s="523">
        <f t="shared" si="3"/>
        <v>0</v>
      </c>
      <c r="AH142" s="529"/>
      <c r="AI142" s="491" t="str">
        <f>'Fund Financial Stmt Template'!$E$2</f>
        <v/>
      </c>
    </row>
    <row r="143" spans="1:35" ht="15">
      <c r="A143" s="490"/>
      <c r="B143" s="496"/>
      <c r="C143" s="532"/>
      <c r="D143" s="491"/>
      <c r="E143" s="491"/>
      <c r="F143" s="491"/>
      <c r="G143" s="491"/>
      <c r="H143" s="491"/>
      <c r="I143" s="491"/>
      <c r="J143" s="491"/>
      <c r="K143" s="491"/>
      <c r="L143" s="491"/>
      <c r="M143" s="491"/>
      <c r="N143" s="491"/>
      <c r="O143" s="536"/>
      <c r="P143" s="536"/>
      <c r="Q143" s="644"/>
      <c r="R143" s="536"/>
      <c r="S143" s="536"/>
      <c r="T143" s="536"/>
      <c r="U143" s="536"/>
      <c r="V143" s="530"/>
      <c r="W143" s="530"/>
      <c r="X143" s="530"/>
      <c r="Y143" s="526"/>
      <c r="Z143" s="523"/>
      <c r="AA143" s="530"/>
      <c r="AB143" s="530"/>
      <c r="AC143" s="530"/>
      <c r="AD143" s="530"/>
      <c r="AE143" s="531"/>
      <c r="AF143" s="491"/>
      <c r="AG143" s="525"/>
      <c r="AH143" s="529"/>
      <c r="AI143" s="491"/>
    </row>
    <row r="144" spans="1:35" ht="15">
      <c r="A144" s="494" t="s">
        <v>344</v>
      </c>
      <c r="B144" s="495" t="s">
        <v>2825</v>
      </c>
      <c r="C144" s="173"/>
      <c r="D144" s="173"/>
      <c r="E144" s="173"/>
      <c r="F144" s="535"/>
      <c r="G144" s="535"/>
      <c r="H144" s="535"/>
      <c r="I144" s="536"/>
      <c r="J144" s="536"/>
      <c r="K144" s="536"/>
      <c r="L144" s="536"/>
      <c r="M144" s="536"/>
      <c r="N144" s="536"/>
      <c r="O144" s="536"/>
      <c r="P144" s="536"/>
      <c r="Q144" s="644"/>
      <c r="R144" s="536"/>
      <c r="S144" s="536"/>
      <c r="T144" s="536"/>
      <c r="U144" s="536"/>
      <c r="V144" s="171"/>
      <c r="W144" s="171"/>
      <c r="X144" s="171"/>
      <c r="Y144" s="526">
        <f t="shared" ref="Y144:Y148" si="53">SUM(V144:X144)</f>
        <v>0</v>
      </c>
      <c r="Z144" s="527"/>
      <c r="AA144" s="171"/>
      <c r="AB144" s="171"/>
      <c r="AC144" s="171"/>
      <c r="AD144" s="171"/>
      <c r="AE144" s="172"/>
      <c r="AF144" s="528">
        <f t="shared" ref="AF144:AF148" si="54">IF(SUM(AA144:AE144)=Y144,SUM(AA144:AE144),"Error")</f>
        <v>0</v>
      </c>
      <c r="AG144" s="523">
        <f t="shared" ref="AG144:AG148" si="55">SUM(AA144:AE144)-Y144</f>
        <v>0</v>
      </c>
      <c r="AH144" s="529"/>
      <c r="AI144" s="491" t="str">
        <f>'Fund Financial Stmt Template'!$E$2</f>
        <v/>
      </c>
    </row>
    <row r="145" spans="1:35" ht="15">
      <c r="A145" s="494" t="s">
        <v>344</v>
      </c>
      <c r="B145" s="495" t="s">
        <v>2825</v>
      </c>
      <c r="C145" s="173"/>
      <c r="D145" s="173"/>
      <c r="E145" s="173"/>
      <c r="F145" s="535"/>
      <c r="G145" s="535"/>
      <c r="H145" s="535"/>
      <c r="I145" s="536"/>
      <c r="J145" s="536"/>
      <c r="K145" s="536"/>
      <c r="L145" s="536"/>
      <c r="M145" s="536"/>
      <c r="N145" s="536"/>
      <c r="O145" s="536"/>
      <c r="P145" s="536"/>
      <c r="Q145" s="644"/>
      <c r="R145" s="536"/>
      <c r="S145" s="536"/>
      <c r="T145" s="536"/>
      <c r="U145" s="536"/>
      <c r="V145" s="171"/>
      <c r="W145" s="171"/>
      <c r="X145" s="171"/>
      <c r="Y145" s="526">
        <f t="shared" si="53"/>
        <v>0</v>
      </c>
      <c r="Z145" s="527"/>
      <c r="AA145" s="171"/>
      <c r="AB145" s="171"/>
      <c r="AC145" s="171"/>
      <c r="AD145" s="171"/>
      <c r="AE145" s="172"/>
      <c r="AF145" s="528">
        <f t="shared" si="54"/>
        <v>0</v>
      </c>
      <c r="AG145" s="523">
        <f t="shared" si="55"/>
        <v>0</v>
      </c>
      <c r="AH145" s="529"/>
      <c r="AI145" s="491" t="str">
        <f>'Fund Financial Stmt Template'!$E$2</f>
        <v/>
      </c>
    </row>
    <row r="146" spans="1:35" ht="15">
      <c r="A146" s="494" t="s">
        <v>344</v>
      </c>
      <c r="B146" s="495" t="s">
        <v>2825</v>
      </c>
      <c r="C146" s="173"/>
      <c r="D146" s="173"/>
      <c r="E146" s="173"/>
      <c r="F146" s="535"/>
      <c r="G146" s="535"/>
      <c r="H146" s="535"/>
      <c r="I146" s="536"/>
      <c r="J146" s="536"/>
      <c r="K146" s="536"/>
      <c r="L146" s="536"/>
      <c r="M146" s="536"/>
      <c r="N146" s="536"/>
      <c r="O146" s="536"/>
      <c r="P146" s="536"/>
      <c r="Q146" s="644"/>
      <c r="R146" s="536"/>
      <c r="S146" s="536"/>
      <c r="T146" s="536"/>
      <c r="U146" s="536"/>
      <c r="V146" s="171"/>
      <c r="W146" s="171"/>
      <c r="X146" s="171"/>
      <c r="Y146" s="526">
        <f t="shared" si="53"/>
        <v>0</v>
      </c>
      <c r="Z146" s="527"/>
      <c r="AA146" s="171"/>
      <c r="AB146" s="171"/>
      <c r="AC146" s="171"/>
      <c r="AD146" s="171"/>
      <c r="AE146" s="172"/>
      <c r="AF146" s="528">
        <f t="shared" si="54"/>
        <v>0</v>
      </c>
      <c r="AG146" s="523">
        <f t="shared" si="55"/>
        <v>0</v>
      </c>
      <c r="AH146" s="529"/>
      <c r="AI146" s="491" t="str">
        <f>'Fund Financial Stmt Template'!$E$2</f>
        <v/>
      </c>
    </row>
    <row r="147" spans="1:35" ht="15">
      <c r="A147" s="494" t="s">
        <v>344</v>
      </c>
      <c r="B147" s="495" t="s">
        <v>2825</v>
      </c>
      <c r="C147" s="173"/>
      <c r="D147" s="173"/>
      <c r="E147" s="173"/>
      <c r="F147" s="535"/>
      <c r="G147" s="535"/>
      <c r="H147" s="535"/>
      <c r="I147" s="536"/>
      <c r="J147" s="536"/>
      <c r="K147" s="536"/>
      <c r="L147" s="536"/>
      <c r="M147" s="536"/>
      <c r="N147" s="536"/>
      <c r="O147" s="536"/>
      <c r="P147" s="536"/>
      <c r="Q147" s="644"/>
      <c r="R147" s="536"/>
      <c r="S147" s="536"/>
      <c r="T147" s="536"/>
      <c r="U147" s="536"/>
      <c r="V147" s="171"/>
      <c r="W147" s="171"/>
      <c r="X147" s="171"/>
      <c r="Y147" s="526">
        <f t="shared" si="53"/>
        <v>0</v>
      </c>
      <c r="Z147" s="527"/>
      <c r="AA147" s="171"/>
      <c r="AB147" s="171"/>
      <c r="AC147" s="171"/>
      <c r="AD147" s="171"/>
      <c r="AE147" s="172"/>
      <c r="AF147" s="528">
        <f t="shared" si="54"/>
        <v>0</v>
      </c>
      <c r="AG147" s="523">
        <f t="shared" si="55"/>
        <v>0</v>
      </c>
      <c r="AH147" s="529"/>
      <c r="AI147" s="491" t="str">
        <f>'Fund Financial Stmt Template'!$E$2</f>
        <v/>
      </c>
    </row>
    <row r="148" spans="1:35" ht="15">
      <c r="A148" s="494" t="s">
        <v>344</v>
      </c>
      <c r="B148" s="495" t="s">
        <v>2825</v>
      </c>
      <c r="C148" s="173"/>
      <c r="D148" s="173"/>
      <c r="E148" s="173"/>
      <c r="F148" s="535"/>
      <c r="G148" s="535"/>
      <c r="H148" s="535"/>
      <c r="I148" s="536"/>
      <c r="J148" s="536"/>
      <c r="K148" s="536"/>
      <c r="L148" s="536"/>
      <c r="M148" s="536"/>
      <c r="N148" s="536"/>
      <c r="O148" s="536"/>
      <c r="P148" s="536"/>
      <c r="Q148" s="644"/>
      <c r="R148" s="536"/>
      <c r="S148" s="536"/>
      <c r="T148" s="536"/>
      <c r="U148" s="536"/>
      <c r="V148" s="171"/>
      <c r="W148" s="171"/>
      <c r="X148" s="171"/>
      <c r="Y148" s="526">
        <f t="shared" si="53"/>
        <v>0</v>
      </c>
      <c r="Z148" s="527"/>
      <c r="AA148" s="171"/>
      <c r="AB148" s="171"/>
      <c r="AC148" s="171"/>
      <c r="AD148" s="171"/>
      <c r="AE148" s="172"/>
      <c r="AF148" s="528">
        <f t="shared" si="54"/>
        <v>0</v>
      </c>
      <c r="AG148" s="523">
        <f t="shared" si="55"/>
        <v>0</v>
      </c>
      <c r="AH148" s="529"/>
      <c r="AI148" s="491" t="str">
        <f>'Fund Financial Stmt Template'!$E$2</f>
        <v/>
      </c>
    </row>
    <row r="149" spans="1:35" ht="15">
      <c r="A149" s="494"/>
      <c r="B149" s="491"/>
      <c r="C149" s="532"/>
      <c r="D149" s="491"/>
      <c r="E149" s="491"/>
      <c r="F149" s="491"/>
      <c r="G149" s="491"/>
      <c r="H149" s="491"/>
      <c r="I149" s="491"/>
      <c r="J149" s="491"/>
      <c r="K149" s="491"/>
      <c r="L149" s="491"/>
      <c r="M149" s="491"/>
      <c r="N149" s="491"/>
      <c r="O149" s="536"/>
      <c r="P149" s="536"/>
      <c r="Q149" s="643"/>
      <c r="R149" s="536"/>
      <c r="S149" s="536"/>
      <c r="T149" s="536"/>
      <c r="U149" s="536"/>
      <c r="V149" s="530"/>
      <c r="W149" s="530"/>
      <c r="X149" s="530"/>
      <c r="Y149" s="526"/>
      <c r="Z149" s="523"/>
      <c r="AA149" s="530"/>
      <c r="AB149" s="530"/>
      <c r="AC149" s="530"/>
      <c r="AD149" s="530"/>
      <c r="AE149" s="531"/>
      <c r="AF149" s="491"/>
      <c r="AG149" s="525"/>
      <c r="AH149" s="529"/>
      <c r="AI149" s="491"/>
    </row>
    <row r="150" spans="1:35" ht="15">
      <c r="A150" s="494" t="s">
        <v>344</v>
      </c>
      <c r="B150" s="495" t="s">
        <v>342</v>
      </c>
      <c r="C150" s="173"/>
      <c r="D150" s="173"/>
      <c r="E150" s="173"/>
      <c r="F150" s="535"/>
      <c r="G150" s="535"/>
      <c r="H150" s="535"/>
      <c r="I150" s="536"/>
      <c r="J150" s="536"/>
      <c r="K150" s="536"/>
      <c r="L150" s="536"/>
      <c r="M150" s="536"/>
      <c r="N150" s="536"/>
      <c r="O150" s="536"/>
      <c r="P150" s="536"/>
      <c r="Q150" s="644"/>
      <c r="R150" s="536"/>
      <c r="S150" s="536"/>
      <c r="T150" s="536"/>
      <c r="U150" s="536"/>
      <c r="V150" s="171"/>
      <c r="W150" s="171"/>
      <c r="X150" s="171"/>
      <c r="Y150" s="526">
        <f t="shared" si="44"/>
        <v>0</v>
      </c>
      <c r="Z150" s="527"/>
      <c r="AA150" s="171"/>
      <c r="AB150" s="171"/>
      <c r="AC150" s="171"/>
      <c r="AD150" s="171"/>
      <c r="AE150" s="172"/>
      <c r="AF150" s="528">
        <f t="shared" si="2"/>
        <v>0</v>
      </c>
      <c r="AG150" s="523">
        <f t="shared" si="3"/>
        <v>0</v>
      </c>
      <c r="AH150" s="529"/>
      <c r="AI150" s="491" t="str">
        <f>'Fund Financial Stmt Template'!$E$2</f>
        <v/>
      </c>
    </row>
    <row r="151" spans="1:35" ht="15">
      <c r="A151" s="494" t="s">
        <v>344</v>
      </c>
      <c r="B151" s="495" t="s">
        <v>342</v>
      </c>
      <c r="C151" s="173"/>
      <c r="D151" s="173"/>
      <c r="E151" s="173"/>
      <c r="F151" s="535"/>
      <c r="G151" s="535"/>
      <c r="H151" s="535"/>
      <c r="I151" s="536"/>
      <c r="J151" s="536"/>
      <c r="K151" s="536"/>
      <c r="L151" s="536"/>
      <c r="M151" s="536"/>
      <c r="N151" s="536"/>
      <c r="O151" s="536"/>
      <c r="P151" s="536"/>
      <c r="Q151" s="644"/>
      <c r="R151" s="536"/>
      <c r="S151" s="536"/>
      <c r="T151" s="536"/>
      <c r="U151" s="536"/>
      <c r="V151" s="171"/>
      <c r="W151" s="171"/>
      <c r="X151" s="171"/>
      <c r="Y151" s="526">
        <f t="shared" si="44"/>
        <v>0</v>
      </c>
      <c r="Z151" s="527"/>
      <c r="AA151" s="171"/>
      <c r="AB151" s="171"/>
      <c r="AC151" s="171"/>
      <c r="AD151" s="171"/>
      <c r="AE151" s="172"/>
      <c r="AF151" s="528">
        <f t="shared" ref="AF151:AF154" si="56">IF(SUM(AA151:AE151)=Y151,SUM(AA151:AE151),"Error")</f>
        <v>0</v>
      </c>
      <c r="AG151" s="523">
        <f t="shared" ref="AG151:AG154" si="57">SUM(AA151:AE151)-Y151</f>
        <v>0</v>
      </c>
      <c r="AH151" s="529"/>
      <c r="AI151" s="491" t="str">
        <f>'Fund Financial Stmt Template'!$E$2</f>
        <v/>
      </c>
    </row>
    <row r="152" spans="1:35" ht="15">
      <c r="A152" s="494" t="s">
        <v>344</v>
      </c>
      <c r="B152" s="495" t="s">
        <v>342</v>
      </c>
      <c r="C152" s="173"/>
      <c r="D152" s="173"/>
      <c r="E152" s="173"/>
      <c r="F152" s="535"/>
      <c r="G152" s="535"/>
      <c r="H152" s="535"/>
      <c r="I152" s="536"/>
      <c r="J152" s="536"/>
      <c r="K152" s="536"/>
      <c r="L152" s="536"/>
      <c r="M152" s="536"/>
      <c r="N152" s="536"/>
      <c r="O152" s="536"/>
      <c r="P152" s="536"/>
      <c r="Q152" s="644"/>
      <c r="R152" s="536"/>
      <c r="S152" s="536"/>
      <c r="T152" s="536"/>
      <c r="U152" s="536"/>
      <c r="V152" s="171"/>
      <c r="W152" s="171"/>
      <c r="X152" s="171"/>
      <c r="Y152" s="526">
        <f t="shared" si="44"/>
        <v>0</v>
      </c>
      <c r="Z152" s="527"/>
      <c r="AA152" s="171"/>
      <c r="AB152" s="171"/>
      <c r="AC152" s="171"/>
      <c r="AD152" s="171"/>
      <c r="AE152" s="172"/>
      <c r="AF152" s="528">
        <f t="shared" si="56"/>
        <v>0</v>
      </c>
      <c r="AG152" s="523">
        <f t="shared" si="57"/>
        <v>0</v>
      </c>
      <c r="AH152" s="529"/>
      <c r="AI152" s="491" t="str">
        <f>'Fund Financial Stmt Template'!$E$2</f>
        <v/>
      </c>
    </row>
    <row r="153" spans="1:35" ht="15">
      <c r="A153" s="494" t="s">
        <v>344</v>
      </c>
      <c r="B153" s="495" t="s">
        <v>342</v>
      </c>
      <c r="C153" s="173"/>
      <c r="D153" s="173"/>
      <c r="E153" s="173"/>
      <c r="F153" s="535"/>
      <c r="G153" s="535"/>
      <c r="H153" s="535"/>
      <c r="I153" s="536"/>
      <c r="J153" s="536"/>
      <c r="K153" s="536"/>
      <c r="L153" s="536"/>
      <c r="M153" s="536"/>
      <c r="N153" s="536"/>
      <c r="O153" s="536"/>
      <c r="P153" s="536"/>
      <c r="Q153" s="644"/>
      <c r="R153" s="536"/>
      <c r="S153" s="536"/>
      <c r="T153" s="536"/>
      <c r="U153" s="536"/>
      <c r="V153" s="171"/>
      <c r="W153" s="171"/>
      <c r="X153" s="171"/>
      <c r="Y153" s="526">
        <f t="shared" si="44"/>
        <v>0</v>
      </c>
      <c r="Z153" s="527"/>
      <c r="AA153" s="171"/>
      <c r="AB153" s="171"/>
      <c r="AC153" s="171"/>
      <c r="AD153" s="171"/>
      <c r="AE153" s="172"/>
      <c r="AF153" s="528">
        <f t="shared" si="56"/>
        <v>0</v>
      </c>
      <c r="AG153" s="523">
        <f t="shared" si="57"/>
        <v>0</v>
      </c>
      <c r="AH153" s="529"/>
      <c r="AI153" s="491" t="str">
        <f>'Fund Financial Stmt Template'!$E$2</f>
        <v/>
      </c>
    </row>
    <row r="154" spans="1:35" ht="15">
      <c r="A154" s="494" t="s">
        <v>344</v>
      </c>
      <c r="B154" s="495" t="s">
        <v>342</v>
      </c>
      <c r="C154" s="173"/>
      <c r="D154" s="173"/>
      <c r="E154" s="173"/>
      <c r="F154" s="535"/>
      <c r="G154" s="535"/>
      <c r="H154" s="535"/>
      <c r="I154" s="536"/>
      <c r="J154" s="536"/>
      <c r="K154" s="536"/>
      <c r="L154" s="536"/>
      <c r="M154" s="536"/>
      <c r="N154" s="536"/>
      <c r="O154" s="536"/>
      <c r="P154" s="536"/>
      <c r="Q154" s="644"/>
      <c r="R154" s="536"/>
      <c r="S154" s="536"/>
      <c r="T154" s="536"/>
      <c r="U154" s="536"/>
      <c r="V154" s="171"/>
      <c r="W154" s="171"/>
      <c r="X154" s="171"/>
      <c r="Y154" s="526">
        <f t="shared" si="44"/>
        <v>0</v>
      </c>
      <c r="Z154" s="527"/>
      <c r="AA154" s="171"/>
      <c r="AB154" s="171"/>
      <c r="AC154" s="171"/>
      <c r="AD154" s="171"/>
      <c r="AE154" s="172"/>
      <c r="AF154" s="528">
        <f t="shared" si="56"/>
        <v>0</v>
      </c>
      <c r="AG154" s="523">
        <f t="shared" si="57"/>
        <v>0</v>
      </c>
      <c r="AH154" s="529"/>
      <c r="AI154" s="491" t="str">
        <f>'Fund Financial Stmt Template'!$E$2</f>
        <v/>
      </c>
    </row>
    <row r="161" spans="17:17" ht="12.75" customHeight="1">
      <c r="Q161" s="641"/>
    </row>
    <row r="162" spans="17:17" ht="12.75" customHeight="1">
      <c r="Q162" s="641"/>
    </row>
    <row r="163" spans="17:17" ht="12.75" customHeight="1">
      <c r="Q163" s="645"/>
    </row>
    <row r="164" spans="17:17" ht="12.75" customHeight="1">
      <c r="Q164" s="645"/>
    </row>
    <row r="165" spans="17:17" ht="12.75" customHeight="1">
      <c r="Q165" s="645"/>
    </row>
    <row r="166" spans="17:17" ht="12.75" customHeight="1">
      <c r="Q166" s="645"/>
    </row>
    <row r="167" spans="17:17" ht="12.75" customHeight="1">
      <c r="Q167" s="645"/>
    </row>
    <row r="168" spans="17:17" ht="12.75" customHeight="1">
      <c r="Q168" s="645"/>
    </row>
    <row r="170" spans="17:17" ht="12.75" customHeight="1">
      <c r="Q170" s="646"/>
    </row>
    <row r="171" spans="17:17" ht="12.75" customHeight="1">
      <c r="Q171" s="646"/>
    </row>
  </sheetData>
  <customSheetViews>
    <customSheetView guid="{354F272F-821B-473B-9CC5-4001AD879606}" scale="80" hiddenRows="1">
      <pane xSplit="2" ySplit="5" topLeftCell="U48" activePane="bottomRight" state="frozen"/>
      <selection pane="bottomRight" activeCell="U67" sqref="U67"/>
      <rowBreaks count="1" manualBreakCount="1">
        <brk id="66" max="33" man="1"/>
      </rowBreaks>
      <colBreaks count="1" manualBreakCount="1">
        <brk id="16" max="145" man="1"/>
      </colBreaks>
      <pageMargins left="0.25" right="0.25" top="1" bottom="1" header="0.44" footer="0.44"/>
      <pageSetup paperSize="5" scale="40" fitToWidth="0" fitToHeight="0" pageOrder="overThenDown" orientation="landscape" cellComments="asDisplayed" r:id="rId1"/>
      <headerFooter>
        <oddHeader>&amp;C&amp;"Times New Roman,Bold"Attachment 9
Governmental Fund Financial Statement Template
&amp;A</oddHeader>
        <oddFooter>&amp;L&amp;"Times New Roman,Regular"&amp;F\ &amp;A&amp;R&amp;"Times New Roman,Regular"Page &amp;P</oddFooter>
      </headerFooter>
    </customSheetView>
  </customSheetViews>
  <mergeCells count="12">
    <mergeCell ref="C7:E7"/>
    <mergeCell ref="C8:E8"/>
    <mergeCell ref="C1:E1"/>
    <mergeCell ref="C3:E3"/>
    <mergeCell ref="C4:E4"/>
    <mergeCell ref="C5:E5"/>
    <mergeCell ref="C6:E6"/>
    <mergeCell ref="F9:O9"/>
    <mergeCell ref="R9:U9"/>
    <mergeCell ref="V9:X9"/>
    <mergeCell ref="V10:W10"/>
    <mergeCell ref="AB10:AE10"/>
  </mergeCells>
  <dataValidations count="1">
    <dataValidation type="whole" allowBlank="1" showInputMessage="1" showErrorMessage="1" errorTitle="Enter Whole Number" error="Please enter a whole number." promptTitle="Enter Whole Number" sqref="V150:X154 O12 V125:X129 AA137:AE142 AA150:AE154 AA74:AE76 F87:O91 F107:O111 AA101:AE105 R12:X12 AA12:AE12 F14:O18 R14:X18 AA14:AE18 AA20:AE24 F20:O24 R20:X24 AA26:AE30 F26:O30 R26:X30 F32:O36 R32:X36 AA32:AE36 AA38:AE42 X38:X42 F38:O42 R38:U42 AA44:AE48 R44:X48 F44:O48 F50:O54 AA50:AE54 R50:X54 F56:O60 AA56:AE60 R56:X60 F62:O66 R62:X66 AA62:AE66 AA68:AE72 F68:O72 R68:X72 AA77:AA79 R74:X79 F74:O79 F81:O85 V137:X142 AA81:AE85 R87:X91 AA87:AE91 AA93:AE93 O93 R93:X93 R95:X99 F95:O99 AA144:AE148 AA107:AE111 R107:X111 AA113:AE117 V113:X117 V119:X123 AA119:AE123 AA125:AE129 V144:X148 AA95:AE99 R101:X105 F101:O105 R81:U85 X81:X85 V131:X135 AA131:AE135" xr:uid="{00000000-0002-0000-0800-000000000000}">
      <formula1>-9999999999999</formula1>
      <formula2>9999999999999</formula2>
    </dataValidation>
  </dataValidations>
  <pageMargins left="0.5" right="0.25" top="1" bottom="1" header="0.44" footer="0.44"/>
  <pageSetup paperSize="5" scale="36" fitToWidth="0" fitToHeight="0" pageOrder="overThenDown" orientation="landscape" cellComments="asDisplayed" r:id="rId2"/>
  <headerFooter>
    <oddHeader>&amp;C&amp;"Times New Roman,Bold"Attachment 9
Governmental Fund Financial Statement Template
&amp;A</oddHeader>
    <oddFooter>&amp;L&amp;"Times New Roman,Regular"&amp;F\ &amp;A&amp;R&amp;"Times New Roman,Regular"Page &amp;P</oddFooter>
  </headerFooter>
  <rowBreaks count="2" manualBreakCount="2">
    <brk id="60" max="34" man="1"/>
    <brk id="111" max="34" man="1"/>
  </rowBreaks>
  <colBreaks count="1" manualBreakCount="1">
    <brk id="17" max="145" man="1"/>
  </col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S72"/>
  <sheetViews>
    <sheetView zoomScale="90" zoomScaleNormal="90" zoomScaleSheetLayoutView="100" workbookViewId="0">
      <selection activeCell="E4" sqref="E4:K4"/>
    </sheetView>
  </sheetViews>
  <sheetFormatPr defaultColWidth="9.140625" defaultRowHeight="12.75"/>
  <cols>
    <col min="1" max="1" width="4.28515625" style="191" customWidth="1"/>
    <col min="2" max="2" width="33" style="191" customWidth="1"/>
    <col min="3" max="4" width="3.85546875" style="191" customWidth="1"/>
    <col min="5" max="5" width="11.28515625" style="191" customWidth="1"/>
    <col min="6" max="6" width="3.140625" style="191" customWidth="1"/>
    <col min="7" max="7" width="2.85546875" style="191" customWidth="1"/>
    <col min="8" max="8" width="20.5703125" style="191" customWidth="1"/>
    <col min="9" max="9" width="2.42578125" style="191" customWidth="1"/>
    <col min="10" max="10" width="2.85546875" style="191" customWidth="1"/>
    <col min="11" max="11" width="20" style="191" bestFit="1" customWidth="1"/>
    <col min="12" max="12" width="2.85546875" style="191" customWidth="1"/>
    <col min="13" max="13" width="3.7109375" style="191" customWidth="1"/>
    <col min="14" max="14" width="21.140625" style="191" bestFit="1" customWidth="1"/>
    <col min="15" max="15" width="2.42578125" style="191" customWidth="1"/>
    <col min="16" max="16" width="2" style="191" customWidth="1"/>
    <col min="17" max="17" width="19.85546875" style="191" customWidth="1"/>
    <col min="18" max="18" width="2.7109375" style="191" customWidth="1"/>
    <col min="19" max="19" width="4" style="191" customWidth="1"/>
    <col min="20" max="20" width="20.42578125" style="191" customWidth="1"/>
    <col min="21" max="22" width="3.42578125" style="191" customWidth="1"/>
    <col min="23" max="23" width="19.85546875" style="191" customWidth="1"/>
    <col min="24" max="24" width="3.5703125" style="191" customWidth="1"/>
    <col min="25" max="25" width="3.140625" style="191" customWidth="1"/>
    <col min="26" max="26" width="20.140625" style="191" customWidth="1"/>
    <col min="27" max="27" width="3.42578125" style="191" customWidth="1"/>
    <col min="28" max="28" width="3.7109375" style="191" customWidth="1"/>
    <col min="29" max="29" width="19.85546875" style="191" customWidth="1"/>
    <col min="30" max="30" width="2.85546875" style="191" hidden="1" customWidth="1"/>
    <col min="31" max="31" width="3.42578125" style="191" hidden="1" customWidth="1"/>
    <col min="32" max="32" width="19.5703125" style="191" hidden="1" customWidth="1"/>
    <col min="33" max="33" width="2.5703125" style="191" customWidth="1"/>
    <col min="34" max="34" width="3.140625" style="191" customWidth="1"/>
    <col min="35" max="35" width="20.7109375" style="191" customWidth="1"/>
    <col min="36" max="36" width="2.85546875" style="191" customWidth="1"/>
    <col min="37" max="37" width="2.42578125" style="191" customWidth="1"/>
    <col min="38" max="38" width="22.28515625" style="191" customWidth="1"/>
    <col min="39" max="39" width="2.42578125" style="191" customWidth="1"/>
    <col min="40" max="40" width="2.7109375" style="191" customWidth="1"/>
    <col min="41" max="41" width="19.85546875" style="191" customWidth="1"/>
    <col min="42" max="43" width="2.7109375" style="191" customWidth="1"/>
    <col min="44" max="44" width="21.85546875" style="191" customWidth="1"/>
    <col min="45" max="45" width="3.42578125" style="191" customWidth="1"/>
    <col min="46" max="46" width="3.5703125" style="191" customWidth="1"/>
    <col min="47" max="47" width="21.28515625" style="191" customWidth="1"/>
    <col min="48" max="48" width="2.5703125" style="191" customWidth="1"/>
    <col min="49" max="49" width="2.85546875" style="191" customWidth="1"/>
    <col min="50" max="50" width="21.28515625" style="191" customWidth="1"/>
    <col min="51" max="51" width="2.5703125" style="191" customWidth="1"/>
    <col min="52" max="52" width="2.85546875" style="191" customWidth="1"/>
    <col min="53" max="53" width="21.28515625" style="191" customWidth="1"/>
    <col min="54" max="54" width="2.7109375" style="191" customWidth="1"/>
    <col min="55" max="55" width="3.28515625" style="191" customWidth="1"/>
    <col min="56" max="56" width="20.28515625" style="191" customWidth="1"/>
    <col min="57" max="57" width="3.42578125" style="191" customWidth="1"/>
    <col min="58" max="58" width="3.140625" style="191" customWidth="1"/>
    <col min="59" max="59" width="22.28515625" style="191" customWidth="1"/>
    <col min="60" max="60" width="3.140625" style="191" customWidth="1"/>
    <col min="61" max="61" width="3.42578125" style="191" customWidth="1"/>
    <col min="62" max="62" width="20.85546875" style="191" customWidth="1"/>
    <col min="63" max="64" width="3.28515625" style="191" customWidth="1"/>
    <col min="65" max="65" width="20" style="191" bestFit="1" customWidth="1"/>
    <col min="66" max="67" width="4.140625" style="191" customWidth="1"/>
    <col min="68" max="68" width="20" style="191" bestFit="1" customWidth="1"/>
    <col min="69" max="69" width="4" style="191" customWidth="1"/>
    <col min="70" max="70" width="3.5703125" style="191" customWidth="1"/>
    <col min="71" max="71" width="25.7109375" style="191" customWidth="1"/>
    <col min="72" max="16384" width="9.140625" style="191"/>
  </cols>
  <sheetData>
    <row r="1" spans="1:71">
      <c r="A1" s="977" t="s">
        <v>399</v>
      </c>
      <c r="B1" s="960"/>
      <c r="C1" s="960"/>
      <c r="D1" s="960"/>
      <c r="E1" s="1013" t="str">
        <f>IF('Fund Financial Stmt Template'!E1="","",'Fund Financial Stmt Template'!E1)</f>
        <v/>
      </c>
      <c r="F1" s="1014"/>
      <c r="G1" s="1014"/>
      <c r="H1" s="1014"/>
      <c r="I1" s="1014"/>
      <c r="J1" s="1014"/>
      <c r="K1" s="1015"/>
    </row>
    <row r="2" spans="1:71" hidden="1">
      <c r="A2" s="254"/>
      <c r="E2" s="231"/>
      <c r="F2" s="279"/>
      <c r="G2" s="279"/>
      <c r="H2" s="279"/>
    </row>
    <row r="3" spans="1:71" ht="33" customHeight="1">
      <c r="A3" s="977" t="s">
        <v>362</v>
      </c>
      <c r="B3" s="960"/>
      <c r="C3" s="960"/>
      <c r="D3" s="960"/>
      <c r="E3" s="1016" t="str">
        <f>'Fund Financial Stmt Template'!E2</f>
        <v/>
      </c>
      <c r="F3" s="1017"/>
      <c r="G3" s="1017"/>
      <c r="H3" s="1017"/>
      <c r="I3" s="1017"/>
      <c r="J3" s="1017"/>
      <c r="K3" s="1018"/>
    </row>
    <row r="4" spans="1:71">
      <c r="A4" s="977" t="s">
        <v>419</v>
      </c>
      <c r="B4" s="960"/>
      <c r="C4" s="960"/>
      <c r="D4" s="960"/>
      <c r="E4" s="1019" t="str">
        <f>IF('Fund Financial Stmt Template'!E3="","",'Fund Financial Stmt Template'!E3)</f>
        <v/>
      </c>
      <c r="F4" s="1020"/>
      <c r="G4" s="1020"/>
      <c r="H4" s="1020"/>
      <c r="I4" s="1020"/>
      <c r="J4" s="1020"/>
      <c r="K4" s="1021"/>
    </row>
    <row r="5" spans="1:71">
      <c r="A5" s="977" t="s">
        <v>420</v>
      </c>
      <c r="B5" s="960"/>
      <c r="C5" s="960"/>
      <c r="D5" s="960"/>
      <c r="E5" s="1002" t="str">
        <f>IF('Fund Financial Stmt Template'!E4="","",'Fund Financial Stmt Template'!E4)</f>
        <v/>
      </c>
      <c r="F5" s="1003"/>
      <c r="G5" s="1003"/>
      <c r="H5" s="1003"/>
      <c r="I5" s="1003"/>
      <c r="J5" s="1003"/>
      <c r="K5" s="1004"/>
    </row>
    <row r="6" spans="1:71">
      <c r="A6" s="977" t="s">
        <v>421</v>
      </c>
      <c r="B6" s="960"/>
      <c r="C6" s="960"/>
      <c r="D6" s="960"/>
      <c r="E6" s="1005" t="str">
        <f>IF('Fund Financial Stmt Template'!E5="","",'Fund Financial Stmt Template'!E5)</f>
        <v/>
      </c>
      <c r="F6" s="1006"/>
      <c r="G6" s="1006"/>
      <c r="H6" s="1006"/>
      <c r="I6" s="1006"/>
      <c r="J6" s="1006"/>
      <c r="K6" s="1007"/>
    </row>
    <row r="7" spans="1:71">
      <c r="A7" s="977" t="s">
        <v>418</v>
      </c>
      <c r="B7" s="960"/>
      <c r="C7" s="960"/>
      <c r="D7" s="960"/>
      <c r="E7" s="1008" t="str">
        <f>IF('Fund Financial Stmt Template'!E6="","",'Fund Financial Stmt Template'!E6)</f>
        <v/>
      </c>
      <c r="F7" s="921"/>
      <c r="G7" s="921"/>
      <c r="H7" s="921"/>
      <c r="I7" s="921"/>
      <c r="J7" s="921"/>
      <c r="K7" s="922"/>
    </row>
    <row r="8" spans="1:71" ht="32.25" customHeight="1">
      <c r="A8" s="977" t="s">
        <v>491</v>
      </c>
      <c r="B8" s="960"/>
      <c r="C8" s="960"/>
      <c r="D8" s="960"/>
      <c r="E8" s="1009" t="str">
        <f>IF('Fund Financial Stmt Template'!E8="","",'Fund Financial Stmt Template'!E8)</f>
        <v/>
      </c>
      <c r="F8" s="1010"/>
      <c r="G8" s="1010"/>
      <c r="H8" s="1010"/>
      <c r="I8" s="1010"/>
      <c r="J8" s="1010"/>
      <c r="K8" s="1011"/>
    </row>
    <row r="9" spans="1:71" ht="14.25">
      <c r="A9" s="306"/>
    </row>
    <row r="10" spans="1:71" ht="14.25">
      <c r="A10" s="306"/>
    </row>
    <row r="11" spans="1:71" ht="43.5" customHeight="1">
      <c r="A11" s="1012" t="s">
        <v>861</v>
      </c>
      <c r="B11" s="1012"/>
      <c r="C11" s="1012"/>
      <c r="D11" s="1012"/>
      <c r="E11" s="1012"/>
      <c r="F11" s="1012"/>
      <c r="G11" s="1012"/>
      <c r="H11" s="1012"/>
      <c r="I11" s="1012"/>
      <c r="J11" s="1012"/>
      <c r="K11" s="1012"/>
    </row>
    <row r="12" spans="1:71" ht="60" customHeight="1">
      <c r="A12" s="968" t="str">
        <f>IF('Tab 1A-GASB 3-40'!H128=0,"N/A", "Answer Required")</f>
        <v>N/A</v>
      </c>
      <c r="B12" s="969"/>
      <c r="C12" s="969"/>
      <c r="D12" s="969"/>
      <c r="E12" s="969"/>
      <c r="F12" s="969"/>
      <c r="G12" s="969"/>
      <c r="H12" s="969"/>
      <c r="I12" s="969"/>
      <c r="J12" s="969"/>
      <c r="K12" s="970"/>
    </row>
    <row r="13" spans="1:71">
      <c r="A13" s="307"/>
      <c r="B13" s="307"/>
      <c r="C13" s="307"/>
      <c r="D13" s="307"/>
      <c r="E13" s="307"/>
      <c r="F13" s="307"/>
      <c r="G13" s="307"/>
      <c r="H13" s="307"/>
      <c r="I13" s="307"/>
      <c r="J13" s="307"/>
      <c r="K13" s="307"/>
    </row>
    <row r="14" spans="1:71" s="308" customFormat="1" ht="47.1" customHeight="1">
      <c r="E14" s="309"/>
      <c r="H14" s="309" t="s">
        <v>2893</v>
      </c>
      <c r="K14" s="309" t="s">
        <v>2894</v>
      </c>
      <c r="N14" s="309" t="s">
        <v>140</v>
      </c>
      <c r="Q14" s="309" t="s">
        <v>141</v>
      </c>
      <c r="T14" s="309" t="s">
        <v>142</v>
      </c>
      <c r="W14" s="309" t="s">
        <v>3100</v>
      </c>
      <c r="Z14" s="309" t="s">
        <v>143</v>
      </c>
      <c r="AC14" s="309" t="s">
        <v>144</v>
      </c>
      <c r="AF14" s="309" t="s">
        <v>145</v>
      </c>
      <c r="AI14" s="309" t="s">
        <v>102</v>
      </c>
      <c r="AL14" s="309" t="s">
        <v>147</v>
      </c>
      <c r="AR14" s="309" t="s">
        <v>103</v>
      </c>
      <c r="AU14" s="309" t="s">
        <v>150</v>
      </c>
      <c r="AX14" s="309" t="s">
        <v>151</v>
      </c>
      <c r="BA14" s="309" t="s">
        <v>600</v>
      </c>
      <c r="BD14" s="309" t="s">
        <v>2883</v>
      </c>
      <c r="BG14" s="309" t="s">
        <v>153</v>
      </c>
      <c r="BJ14" s="309" t="s">
        <v>155</v>
      </c>
      <c r="BM14" s="309" t="s">
        <v>156</v>
      </c>
      <c r="BN14" s="309"/>
      <c r="BO14" s="309"/>
      <c r="BP14" s="309" t="s">
        <v>157</v>
      </c>
      <c r="BS14" s="310" t="s">
        <v>158</v>
      </c>
    </row>
    <row r="15" spans="1:71">
      <c r="A15" s="311" t="s">
        <v>2576</v>
      </c>
      <c r="D15" s="252"/>
      <c r="E15" s="312"/>
      <c r="G15" s="313" t="s">
        <v>374</v>
      </c>
      <c r="H15" s="325"/>
      <c r="J15" s="313" t="s">
        <v>374</v>
      </c>
      <c r="K15" s="325"/>
      <c r="M15" s="313" t="s">
        <v>374</v>
      </c>
      <c r="N15" s="325"/>
      <c r="P15" s="313" t="s">
        <v>374</v>
      </c>
      <c r="Q15" s="325"/>
      <c r="S15" s="313" t="s">
        <v>374</v>
      </c>
      <c r="T15" s="325"/>
      <c r="V15" s="313" t="s">
        <v>374</v>
      </c>
      <c r="W15" s="325"/>
      <c r="Y15" s="313" t="s">
        <v>374</v>
      </c>
      <c r="Z15" s="325"/>
      <c r="AB15" s="313" t="s">
        <v>374</v>
      </c>
      <c r="AC15" s="325"/>
      <c r="AD15" s="239"/>
      <c r="AE15" s="326" t="s">
        <v>374</v>
      </c>
      <c r="AF15" s="327"/>
      <c r="AH15" s="313" t="s">
        <v>374</v>
      </c>
      <c r="AI15" s="325"/>
      <c r="AK15" s="313" t="s">
        <v>374</v>
      </c>
      <c r="AL15" s="325"/>
      <c r="AN15" s="252"/>
      <c r="AO15" s="311" t="str">
        <f>A15</f>
        <v xml:space="preserve">Argentine Peso </v>
      </c>
      <c r="AP15" s="252"/>
      <c r="AQ15" s="313" t="s">
        <v>374</v>
      </c>
      <c r="AR15" s="325"/>
      <c r="AT15" s="313" t="s">
        <v>374</v>
      </c>
      <c r="AU15" s="325"/>
      <c r="AW15" s="313" t="s">
        <v>374</v>
      </c>
      <c r="AX15" s="325"/>
      <c r="AZ15" s="313" t="s">
        <v>374</v>
      </c>
      <c r="BA15" s="325"/>
      <c r="BC15" s="313" t="s">
        <v>374</v>
      </c>
      <c r="BD15" s="325"/>
      <c r="BF15" s="313" t="s">
        <v>374</v>
      </c>
      <c r="BG15" s="325"/>
      <c r="BI15" s="313" t="s">
        <v>374</v>
      </c>
      <c r="BJ15" s="325"/>
      <c r="BL15" s="315" t="s">
        <v>374</v>
      </c>
      <c r="BM15" s="325"/>
      <c r="BN15" s="312"/>
      <c r="BO15" s="313" t="s">
        <v>374</v>
      </c>
      <c r="BP15" s="325"/>
      <c r="BR15" s="313" t="s">
        <v>374</v>
      </c>
      <c r="BS15" s="316">
        <f t="shared" ref="BS15:BS63" si="0">SUM(H15:BP15)</f>
        <v>0</v>
      </c>
    </row>
    <row r="16" spans="1:71">
      <c r="A16" s="317" t="s">
        <v>159</v>
      </c>
      <c r="E16" s="312"/>
      <c r="H16" s="325"/>
      <c r="K16" s="325"/>
      <c r="N16" s="325"/>
      <c r="Q16" s="325"/>
      <c r="T16" s="325"/>
      <c r="W16" s="325"/>
      <c r="Z16" s="325"/>
      <c r="AC16" s="325"/>
      <c r="AD16" s="239"/>
      <c r="AE16" s="239"/>
      <c r="AF16" s="327"/>
      <c r="AI16" s="325"/>
      <c r="AL16" s="325"/>
      <c r="AO16" s="311" t="str">
        <f t="shared" ref="AO16:AO57" si="1">A16</f>
        <v xml:space="preserve">Australian Dollar </v>
      </c>
      <c r="AR16" s="325"/>
      <c r="AU16" s="325"/>
      <c r="AX16" s="325"/>
      <c r="BA16" s="325"/>
      <c r="BD16" s="325"/>
      <c r="BG16" s="325"/>
      <c r="BJ16" s="325"/>
      <c r="BM16" s="325"/>
      <c r="BN16" s="312"/>
      <c r="BO16" s="312"/>
      <c r="BP16" s="325"/>
      <c r="BS16" s="316">
        <f t="shared" si="0"/>
        <v>0</v>
      </c>
    </row>
    <row r="17" spans="1:71">
      <c r="A17" s="317" t="s">
        <v>3598</v>
      </c>
      <c r="E17" s="312"/>
      <c r="H17" s="325"/>
      <c r="K17" s="325"/>
      <c r="N17" s="325"/>
      <c r="Q17" s="325"/>
      <c r="T17" s="325"/>
      <c r="W17" s="325"/>
      <c r="Z17" s="325"/>
      <c r="AC17" s="325"/>
      <c r="AD17" s="239"/>
      <c r="AE17" s="239"/>
      <c r="AF17" s="327"/>
      <c r="AI17" s="325"/>
      <c r="AL17" s="325"/>
      <c r="AO17" s="311" t="str">
        <f t="shared" si="1"/>
        <v xml:space="preserve">Brazilian Real </v>
      </c>
      <c r="AR17" s="325"/>
      <c r="AU17" s="325"/>
      <c r="AX17" s="325"/>
      <c r="BA17" s="325"/>
      <c r="BD17" s="325"/>
      <c r="BG17" s="325"/>
      <c r="BJ17" s="325"/>
      <c r="BM17" s="325"/>
      <c r="BN17" s="312"/>
      <c r="BO17" s="312"/>
      <c r="BP17" s="325"/>
      <c r="BS17" s="316">
        <f t="shared" si="0"/>
        <v>0</v>
      </c>
    </row>
    <row r="18" spans="1:71">
      <c r="A18" s="317" t="s">
        <v>3410</v>
      </c>
      <c r="E18" s="312"/>
      <c r="H18" s="325"/>
      <c r="K18" s="325"/>
      <c r="N18" s="325"/>
      <c r="Q18" s="325"/>
      <c r="T18" s="325"/>
      <c r="W18" s="325"/>
      <c r="Z18" s="325"/>
      <c r="AC18" s="325"/>
      <c r="AD18" s="239"/>
      <c r="AE18" s="239"/>
      <c r="AF18" s="327"/>
      <c r="AI18" s="325"/>
      <c r="AL18" s="325"/>
      <c r="AO18" s="311" t="str">
        <f>A18</f>
        <v xml:space="preserve">British Pound Sterling </v>
      </c>
      <c r="AR18" s="325"/>
      <c r="AU18" s="325"/>
      <c r="AX18" s="325"/>
      <c r="BA18" s="325"/>
      <c r="BD18" s="325"/>
      <c r="BG18" s="325"/>
      <c r="BJ18" s="325"/>
      <c r="BM18" s="325"/>
      <c r="BN18" s="312"/>
      <c r="BO18" s="312"/>
      <c r="BP18" s="325"/>
      <c r="BS18" s="316">
        <f>SUM(H18:BP18)</f>
        <v>0</v>
      </c>
    </row>
    <row r="19" spans="1:71">
      <c r="A19" s="317" t="s">
        <v>160</v>
      </c>
      <c r="E19" s="312"/>
      <c r="H19" s="325"/>
      <c r="K19" s="325"/>
      <c r="N19" s="325"/>
      <c r="Q19" s="325"/>
      <c r="T19" s="325"/>
      <c r="W19" s="325"/>
      <c r="Z19" s="325"/>
      <c r="AC19" s="325"/>
      <c r="AD19" s="239"/>
      <c r="AE19" s="239"/>
      <c r="AF19" s="327"/>
      <c r="AI19" s="325"/>
      <c r="AL19" s="325"/>
      <c r="AO19" s="311" t="str">
        <f t="shared" si="1"/>
        <v xml:space="preserve">Canadian Dollar </v>
      </c>
      <c r="AR19" s="325"/>
      <c r="AU19" s="325"/>
      <c r="AX19" s="325"/>
      <c r="BA19" s="325"/>
      <c r="BD19" s="325"/>
      <c r="BG19" s="325"/>
      <c r="BJ19" s="325"/>
      <c r="BM19" s="325"/>
      <c r="BN19" s="312"/>
      <c r="BO19" s="312"/>
      <c r="BP19" s="325"/>
      <c r="BS19" s="316">
        <f t="shared" si="0"/>
        <v>0</v>
      </c>
    </row>
    <row r="20" spans="1:71">
      <c r="A20" s="317" t="s">
        <v>3548</v>
      </c>
      <c r="E20" s="312"/>
      <c r="H20" s="325"/>
      <c r="K20" s="325"/>
      <c r="N20" s="325"/>
      <c r="Q20" s="325"/>
      <c r="T20" s="325"/>
      <c r="W20" s="325"/>
      <c r="Z20" s="325"/>
      <c r="AC20" s="325"/>
      <c r="AD20" s="239"/>
      <c r="AE20" s="239"/>
      <c r="AF20" s="327"/>
      <c r="AI20" s="325"/>
      <c r="AL20" s="325"/>
      <c r="AO20" s="311" t="str">
        <f t="shared" ref="AO20" si="2">A20</f>
        <v>Cayman Islands</v>
      </c>
      <c r="AR20" s="325"/>
      <c r="AU20" s="325"/>
      <c r="AX20" s="325"/>
      <c r="BA20" s="325"/>
      <c r="BD20" s="325"/>
      <c r="BG20" s="325"/>
      <c r="BJ20" s="325"/>
      <c r="BM20" s="325"/>
      <c r="BN20" s="312"/>
      <c r="BO20" s="312"/>
      <c r="BP20" s="325"/>
      <c r="BS20" s="316">
        <f t="shared" ref="BS20" si="3">SUM(H20:BP20)</f>
        <v>0</v>
      </c>
    </row>
    <row r="21" spans="1:71">
      <c r="A21" s="317" t="s">
        <v>3248</v>
      </c>
      <c r="E21" s="312"/>
      <c r="H21" s="325"/>
      <c r="K21" s="325"/>
      <c r="N21" s="325"/>
      <c r="Q21" s="325"/>
      <c r="T21" s="325"/>
      <c r="W21" s="325"/>
      <c r="Z21" s="325"/>
      <c r="AC21" s="325"/>
      <c r="AD21" s="239"/>
      <c r="AE21" s="239"/>
      <c r="AF21" s="327"/>
      <c r="AI21" s="325"/>
      <c r="AL21" s="325"/>
      <c r="AO21" s="311" t="str">
        <f t="shared" si="1"/>
        <v>Chilean Peso</v>
      </c>
      <c r="AR21" s="325"/>
      <c r="AU21" s="325"/>
      <c r="AX21" s="325"/>
      <c r="BA21" s="325"/>
      <c r="BD21" s="325"/>
      <c r="BG21" s="325"/>
      <c r="BJ21" s="325"/>
      <c r="BM21" s="325"/>
      <c r="BN21" s="312"/>
      <c r="BO21" s="312"/>
      <c r="BP21" s="325"/>
      <c r="BS21" s="316">
        <f t="shared" si="0"/>
        <v>0</v>
      </c>
    </row>
    <row r="22" spans="1:71">
      <c r="A22" s="317" t="s">
        <v>3549</v>
      </c>
      <c r="E22" s="312"/>
      <c r="H22" s="325"/>
      <c r="K22" s="325"/>
      <c r="N22" s="325"/>
      <c r="Q22" s="325"/>
      <c r="T22" s="325"/>
      <c r="W22" s="325"/>
      <c r="Z22" s="325"/>
      <c r="AC22" s="325"/>
      <c r="AD22" s="239"/>
      <c r="AE22" s="239"/>
      <c r="AF22" s="327"/>
      <c r="AI22" s="325"/>
      <c r="AL22" s="325"/>
      <c r="AO22" s="311" t="str">
        <f t="shared" ref="AO22" si="4">A22</f>
        <v>Chinese RMB</v>
      </c>
      <c r="AR22" s="325"/>
      <c r="AU22" s="325"/>
      <c r="AX22" s="325"/>
      <c r="BA22" s="325"/>
      <c r="BD22" s="325"/>
      <c r="BG22" s="325"/>
      <c r="BJ22" s="325"/>
      <c r="BM22" s="325"/>
      <c r="BN22" s="312"/>
      <c r="BO22" s="312"/>
      <c r="BP22" s="325"/>
      <c r="BS22" s="316">
        <f t="shared" ref="BS22" si="5">SUM(H22:BP22)</f>
        <v>0</v>
      </c>
    </row>
    <row r="23" spans="1:71">
      <c r="A23" s="317" t="s">
        <v>161</v>
      </c>
      <c r="C23" s="318"/>
      <c r="D23" s="318"/>
      <c r="E23" s="312"/>
      <c r="H23" s="325"/>
      <c r="K23" s="325"/>
      <c r="N23" s="325"/>
      <c r="Q23" s="325"/>
      <c r="T23" s="325"/>
      <c r="W23" s="325"/>
      <c r="Z23" s="325"/>
      <c r="AC23" s="325"/>
      <c r="AD23" s="239"/>
      <c r="AE23" s="239"/>
      <c r="AF23" s="327"/>
      <c r="AI23" s="325"/>
      <c r="AL23" s="325"/>
      <c r="AO23" s="311" t="str">
        <f t="shared" si="1"/>
        <v xml:space="preserve">Colombian Peso </v>
      </c>
      <c r="AR23" s="325"/>
      <c r="AU23" s="325"/>
      <c r="AX23" s="325"/>
      <c r="BA23" s="325"/>
      <c r="BD23" s="325"/>
      <c r="BG23" s="325"/>
      <c r="BJ23" s="325"/>
      <c r="BM23" s="325"/>
      <c r="BN23" s="312"/>
      <c r="BO23" s="312"/>
      <c r="BP23" s="325"/>
      <c r="BS23" s="316">
        <f t="shared" si="0"/>
        <v>0</v>
      </c>
    </row>
    <row r="24" spans="1:71">
      <c r="A24" s="317" t="s">
        <v>162</v>
      </c>
      <c r="E24" s="312"/>
      <c r="H24" s="325"/>
      <c r="K24" s="325"/>
      <c r="N24" s="325"/>
      <c r="Q24" s="325"/>
      <c r="T24" s="325"/>
      <c r="W24" s="325"/>
      <c r="Z24" s="325"/>
      <c r="AC24" s="325"/>
      <c r="AD24" s="239"/>
      <c r="AE24" s="239"/>
      <c r="AF24" s="327"/>
      <c r="AI24" s="325"/>
      <c r="AL24" s="325"/>
      <c r="AO24" s="311" t="str">
        <f t="shared" si="1"/>
        <v xml:space="preserve">Czech Koruna </v>
      </c>
      <c r="AR24" s="325"/>
      <c r="AU24" s="325"/>
      <c r="AX24" s="325"/>
      <c r="BA24" s="325"/>
      <c r="BD24" s="325"/>
      <c r="BG24" s="325"/>
      <c r="BJ24" s="325"/>
      <c r="BM24" s="325"/>
      <c r="BN24" s="312"/>
      <c r="BO24" s="312"/>
      <c r="BP24" s="325"/>
      <c r="BS24" s="316">
        <f t="shared" si="0"/>
        <v>0</v>
      </c>
    </row>
    <row r="25" spans="1:71">
      <c r="A25" s="317" t="s">
        <v>163</v>
      </c>
      <c r="E25" s="312"/>
      <c r="H25" s="325"/>
      <c r="K25" s="325"/>
      <c r="N25" s="325"/>
      <c r="Q25" s="325"/>
      <c r="T25" s="325"/>
      <c r="W25" s="325"/>
      <c r="Z25" s="325"/>
      <c r="AC25" s="325"/>
      <c r="AD25" s="239"/>
      <c r="AE25" s="239"/>
      <c r="AF25" s="327"/>
      <c r="AI25" s="325"/>
      <c r="AL25" s="325"/>
      <c r="AO25" s="311" t="str">
        <f t="shared" si="1"/>
        <v xml:space="preserve">Danish Krone </v>
      </c>
      <c r="AR25" s="325"/>
      <c r="AU25" s="325"/>
      <c r="AX25" s="325"/>
      <c r="BA25" s="325"/>
      <c r="BD25" s="325"/>
      <c r="BG25" s="325"/>
      <c r="BJ25" s="325"/>
      <c r="BM25" s="325"/>
      <c r="BN25" s="312"/>
      <c r="BO25" s="312"/>
      <c r="BP25" s="325"/>
      <c r="BS25" s="316">
        <f t="shared" si="0"/>
        <v>0</v>
      </c>
    </row>
    <row r="26" spans="1:71">
      <c r="A26" s="317" t="s">
        <v>3550</v>
      </c>
      <c r="E26" s="312"/>
      <c r="H26" s="325"/>
      <c r="K26" s="325"/>
      <c r="N26" s="325"/>
      <c r="Q26" s="325"/>
      <c r="T26" s="325"/>
      <c r="W26" s="325"/>
      <c r="Z26" s="325"/>
      <c r="AC26" s="325"/>
      <c r="AD26" s="239"/>
      <c r="AE26" s="239"/>
      <c r="AF26" s="327"/>
      <c r="AI26" s="325"/>
      <c r="AL26" s="325"/>
      <c r="AO26" s="311" t="str">
        <f t="shared" ref="AO26" si="6">A26</f>
        <v>Dominican Republic Peso</v>
      </c>
      <c r="AR26" s="325"/>
      <c r="AU26" s="325"/>
      <c r="AX26" s="325"/>
      <c r="BA26" s="325"/>
      <c r="BD26" s="325"/>
      <c r="BG26" s="325"/>
      <c r="BJ26" s="325"/>
      <c r="BM26" s="325"/>
      <c r="BN26" s="312"/>
      <c r="BO26" s="312"/>
      <c r="BP26" s="325"/>
      <c r="BS26" s="316">
        <f t="shared" ref="BS26" si="7">SUM(H26:BP26)</f>
        <v>0</v>
      </c>
    </row>
    <row r="27" spans="1:71">
      <c r="A27" s="317" t="s">
        <v>164</v>
      </c>
      <c r="E27" s="312"/>
      <c r="H27" s="325"/>
      <c r="K27" s="325"/>
      <c r="N27" s="325"/>
      <c r="Q27" s="325"/>
      <c r="T27" s="325"/>
      <c r="W27" s="325"/>
      <c r="Z27" s="325"/>
      <c r="AC27" s="325"/>
      <c r="AD27" s="239"/>
      <c r="AE27" s="239"/>
      <c r="AF27" s="327"/>
      <c r="AI27" s="325"/>
      <c r="AL27" s="325"/>
      <c r="AO27" s="311" t="str">
        <f t="shared" si="1"/>
        <v xml:space="preserve">Egyptian Pound </v>
      </c>
      <c r="AR27" s="325"/>
      <c r="AU27" s="325"/>
      <c r="AX27" s="325"/>
      <c r="BA27" s="325"/>
      <c r="BD27" s="325"/>
      <c r="BG27" s="325"/>
      <c r="BJ27" s="325"/>
      <c r="BM27" s="325"/>
      <c r="BN27" s="312"/>
      <c r="BO27" s="312"/>
      <c r="BP27" s="325"/>
      <c r="BS27" s="316">
        <f t="shared" si="0"/>
        <v>0</v>
      </c>
    </row>
    <row r="28" spans="1:71">
      <c r="A28" s="317" t="s">
        <v>3599</v>
      </c>
      <c r="E28" s="312"/>
      <c r="H28" s="325"/>
      <c r="K28" s="325"/>
      <c r="N28" s="325"/>
      <c r="Q28" s="325"/>
      <c r="T28" s="325"/>
      <c r="W28" s="325"/>
      <c r="Z28" s="325"/>
      <c r="AC28" s="325"/>
      <c r="AD28" s="239"/>
      <c r="AE28" s="239"/>
      <c r="AF28" s="327"/>
      <c r="AI28" s="325"/>
      <c r="AL28" s="325"/>
      <c r="AO28" s="311" t="str">
        <f t="shared" si="1"/>
        <v xml:space="preserve">Estonian Kroon </v>
      </c>
      <c r="AR28" s="325"/>
      <c r="AU28" s="325"/>
      <c r="AX28" s="325"/>
      <c r="BA28" s="325"/>
      <c r="BD28" s="325"/>
      <c r="BG28" s="325"/>
      <c r="BJ28" s="325"/>
      <c r="BM28" s="325"/>
      <c r="BN28" s="312"/>
      <c r="BO28" s="312"/>
      <c r="BP28" s="325"/>
      <c r="BS28" s="316">
        <f t="shared" si="0"/>
        <v>0</v>
      </c>
    </row>
    <row r="29" spans="1:71">
      <c r="A29" s="317" t="s">
        <v>165</v>
      </c>
      <c r="E29" s="312"/>
      <c r="H29" s="325"/>
      <c r="K29" s="325"/>
      <c r="N29" s="325"/>
      <c r="Q29" s="325"/>
      <c r="T29" s="325"/>
      <c r="W29" s="325"/>
      <c r="Z29" s="325"/>
      <c r="AC29" s="325"/>
      <c r="AD29" s="239"/>
      <c r="AE29" s="239"/>
      <c r="AF29" s="327"/>
      <c r="AI29" s="325"/>
      <c r="AL29" s="325"/>
      <c r="AO29" s="311" t="str">
        <f t="shared" si="1"/>
        <v xml:space="preserve">Euro Currency Unit </v>
      </c>
      <c r="AR29" s="325"/>
      <c r="AU29" s="325"/>
      <c r="AX29" s="325"/>
      <c r="BA29" s="325"/>
      <c r="BD29" s="325"/>
      <c r="BG29" s="325"/>
      <c r="BJ29" s="325"/>
      <c r="BM29" s="325"/>
      <c r="BN29" s="312"/>
      <c r="BO29" s="312"/>
      <c r="BP29" s="325"/>
      <c r="BS29" s="316">
        <f t="shared" si="0"/>
        <v>0</v>
      </c>
    </row>
    <row r="30" spans="1:71">
      <c r="A30" s="317" t="s">
        <v>166</v>
      </c>
      <c r="E30" s="312"/>
      <c r="H30" s="325"/>
      <c r="K30" s="325"/>
      <c r="N30" s="325"/>
      <c r="Q30" s="325"/>
      <c r="T30" s="325"/>
      <c r="W30" s="325"/>
      <c r="Z30" s="325"/>
      <c r="AC30" s="325"/>
      <c r="AD30" s="239"/>
      <c r="AE30" s="239"/>
      <c r="AF30" s="327"/>
      <c r="AI30" s="325"/>
      <c r="AL30" s="325"/>
      <c r="AO30" s="311" t="str">
        <f t="shared" si="1"/>
        <v xml:space="preserve">Hong Kong Dollar </v>
      </c>
      <c r="AR30" s="325"/>
      <c r="AU30" s="325"/>
      <c r="AX30" s="325"/>
      <c r="BA30" s="325"/>
      <c r="BD30" s="325"/>
      <c r="BG30" s="325"/>
      <c r="BJ30" s="325"/>
      <c r="BM30" s="325"/>
      <c r="BN30" s="312"/>
      <c r="BO30" s="312"/>
      <c r="BP30" s="325"/>
      <c r="BS30" s="316">
        <f t="shared" si="0"/>
        <v>0</v>
      </c>
    </row>
    <row r="31" spans="1:71">
      <c r="A31" s="317" t="s">
        <v>167</v>
      </c>
      <c r="E31" s="312"/>
      <c r="H31" s="325"/>
      <c r="K31" s="325"/>
      <c r="N31" s="325"/>
      <c r="Q31" s="325"/>
      <c r="T31" s="325"/>
      <c r="W31" s="325"/>
      <c r="Z31" s="325"/>
      <c r="AC31" s="325"/>
      <c r="AD31" s="239"/>
      <c r="AE31" s="239"/>
      <c r="AF31" s="327"/>
      <c r="AI31" s="325"/>
      <c r="AL31" s="325"/>
      <c r="AO31" s="311" t="str">
        <f t="shared" si="1"/>
        <v xml:space="preserve">Hungarian Forint </v>
      </c>
      <c r="AR31" s="325"/>
      <c r="AU31" s="325"/>
      <c r="AX31" s="325"/>
      <c r="BA31" s="325"/>
      <c r="BD31" s="325"/>
      <c r="BG31" s="325"/>
      <c r="BJ31" s="325"/>
      <c r="BM31" s="325"/>
      <c r="BN31" s="312"/>
      <c r="BO31" s="312"/>
      <c r="BP31" s="325"/>
      <c r="BS31" s="316">
        <f t="shared" si="0"/>
        <v>0</v>
      </c>
    </row>
    <row r="32" spans="1:71">
      <c r="A32" s="317" t="s">
        <v>168</v>
      </c>
      <c r="E32" s="312"/>
      <c r="H32" s="325"/>
      <c r="K32" s="325"/>
      <c r="N32" s="325"/>
      <c r="Q32" s="325"/>
      <c r="T32" s="325"/>
      <c r="W32" s="325"/>
      <c r="Z32" s="325"/>
      <c r="AC32" s="325"/>
      <c r="AD32" s="239"/>
      <c r="AE32" s="239"/>
      <c r="AF32" s="327"/>
      <c r="AI32" s="325"/>
      <c r="AL32" s="325"/>
      <c r="AO32" s="311" t="str">
        <f t="shared" si="1"/>
        <v xml:space="preserve">Indian Rupee </v>
      </c>
      <c r="AR32" s="325"/>
      <c r="AU32" s="325"/>
      <c r="AX32" s="325"/>
      <c r="BA32" s="325"/>
      <c r="BD32" s="325"/>
      <c r="BG32" s="325"/>
      <c r="BJ32" s="325"/>
      <c r="BM32" s="325"/>
      <c r="BN32" s="312"/>
      <c r="BO32" s="312"/>
      <c r="BP32" s="325"/>
      <c r="BS32" s="316">
        <f t="shared" si="0"/>
        <v>0</v>
      </c>
    </row>
    <row r="33" spans="1:71">
      <c r="A33" s="317" t="s">
        <v>750</v>
      </c>
      <c r="E33" s="312"/>
      <c r="H33" s="325"/>
      <c r="K33" s="325"/>
      <c r="N33" s="325"/>
      <c r="Q33" s="325"/>
      <c r="T33" s="325"/>
      <c r="W33" s="325"/>
      <c r="Z33" s="325"/>
      <c r="AC33" s="325"/>
      <c r="AD33" s="239"/>
      <c r="AE33" s="239"/>
      <c r="AF33" s="327"/>
      <c r="AI33" s="325"/>
      <c r="AL33" s="325"/>
      <c r="AO33" s="311" t="str">
        <f t="shared" si="1"/>
        <v xml:space="preserve">Indonesian Rupiah </v>
      </c>
      <c r="AR33" s="325"/>
      <c r="AU33" s="325"/>
      <c r="AX33" s="325"/>
      <c r="BA33" s="325"/>
      <c r="BD33" s="325"/>
      <c r="BG33" s="325"/>
      <c r="BJ33" s="325"/>
      <c r="BM33" s="325"/>
      <c r="BN33" s="312"/>
      <c r="BO33" s="312"/>
      <c r="BP33" s="325"/>
      <c r="BS33" s="316">
        <f t="shared" si="0"/>
        <v>0</v>
      </c>
    </row>
    <row r="34" spans="1:71">
      <c r="A34" s="317" t="s">
        <v>169</v>
      </c>
      <c r="E34" s="312"/>
      <c r="H34" s="325"/>
      <c r="K34" s="325"/>
      <c r="N34" s="325"/>
      <c r="Q34" s="325"/>
      <c r="T34" s="325"/>
      <c r="W34" s="325"/>
      <c r="Z34" s="325"/>
      <c r="AC34" s="325"/>
      <c r="AD34" s="239"/>
      <c r="AE34" s="239"/>
      <c r="AF34" s="327"/>
      <c r="AI34" s="325"/>
      <c r="AL34" s="325"/>
      <c r="AO34" s="311" t="str">
        <f t="shared" si="1"/>
        <v xml:space="preserve">Israeli Shekel </v>
      </c>
      <c r="AR34" s="325"/>
      <c r="AU34" s="325"/>
      <c r="AX34" s="325"/>
      <c r="BA34" s="325"/>
      <c r="BD34" s="325"/>
      <c r="BG34" s="325"/>
      <c r="BJ34" s="325"/>
      <c r="BM34" s="325"/>
      <c r="BN34" s="312"/>
      <c r="BO34" s="312"/>
      <c r="BP34" s="325"/>
      <c r="BS34" s="316">
        <f t="shared" si="0"/>
        <v>0</v>
      </c>
    </row>
    <row r="35" spans="1:71">
      <c r="A35" s="317" t="s">
        <v>170</v>
      </c>
      <c r="E35" s="312"/>
      <c r="H35" s="325"/>
      <c r="K35" s="325"/>
      <c r="N35" s="325"/>
      <c r="Q35" s="325"/>
      <c r="T35" s="325"/>
      <c r="W35" s="325"/>
      <c r="Z35" s="325"/>
      <c r="AC35" s="325"/>
      <c r="AD35" s="239"/>
      <c r="AE35" s="239"/>
      <c r="AF35" s="327"/>
      <c r="AI35" s="325"/>
      <c r="AL35" s="325"/>
      <c r="AO35" s="311" t="str">
        <f t="shared" si="1"/>
        <v xml:space="preserve">Japanese Yen </v>
      </c>
      <c r="AR35" s="325"/>
      <c r="AU35" s="325"/>
      <c r="AX35" s="325"/>
      <c r="BA35" s="325"/>
      <c r="BD35" s="325"/>
      <c r="BG35" s="325"/>
      <c r="BJ35" s="325"/>
      <c r="BM35" s="325"/>
      <c r="BN35" s="312"/>
      <c r="BO35" s="312"/>
      <c r="BP35" s="325"/>
      <c r="BS35" s="316">
        <f t="shared" si="0"/>
        <v>0</v>
      </c>
    </row>
    <row r="36" spans="1:71">
      <c r="A36" s="317" t="s">
        <v>171</v>
      </c>
      <c r="E36" s="312"/>
      <c r="H36" s="325"/>
      <c r="K36" s="325"/>
      <c r="N36" s="325"/>
      <c r="Q36" s="325"/>
      <c r="T36" s="325"/>
      <c r="W36" s="325"/>
      <c r="Z36" s="325"/>
      <c r="AC36" s="325"/>
      <c r="AD36" s="239"/>
      <c r="AE36" s="239"/>
      <c r="AF36" s="327"/>
      <c r="AI36" s="325"/>
      <c r="AL36" s="325"/>
      <c r="AO36" s="311" t="str">
        <f t="shared" si="1"/>
        <v xml:space="preserve">Malaysian Ringgit </v>
      </c>
      <c r="AR36" s="325"/>
      <c r="AU36" s="325"/>
      <c r="AX36" s="325"/>
      <c r="BA36" s="325"/>
      <c r="BD36" s="325"/>
      <c r="BG36" s="325"/>
      <c r="BJ36" s="325"/>
      <c r="BM36" s="325"/>
      <c r="BN36" s="312"/>
      <c r="BO36" s="312"/>
      <c r="BP36" s="325"/>
      <c r="BS36" s="316">
        <f t="shared" si="0"/>
        <v>0</v>
      </c>
    </row>
    <row r="37" spans="1:71">
      <c r="A37" s="317" t="s">
        <v>2577</v>
      </c>
      <c r="E37" s="312"/>
      <c r="H37" s="325"/>
      <c r="K37" s="325"/>
      <c r="N37" s="325"/>
      <c r="Q37" s="325"/>
      <c r="T37" s="325"/>
      <c r="W37" s="325"/>
      <c r="Z37" s="325"/>
      <c r="AC37" s="325"/>
      <c r="AD37" s="239"/>
      <c r="AE37" s="239"/>
      <c r="AF37" s="327"/>
      <c r="AI37" s="325"/>
      <c r="AL37" s="325"/>
      <c r="AO37" s="311" t="str">
        <f t="shared" si="1"/>
        <v xml:space="preserve">Mexican Peso </v>
      </c>
      <c r="AR37" s="325"/>
      <c r="AU37" s="325"/>
      <c r="AX37" s="325"/>
      <c r="BA37" s="325"/>
      <c r="BD37" s="325"/>
      <c r="BG37" s="325"/>
      <c r="BJ37" s="325"/>
      <c r="BM37" s="325"/>
      <c r="BN37" s="312"/>
      <c r="BO37" s="312"/>
      <c r="BP37" s="325"/>
      <c r="BS37" s="316">
        <f t="shared" si="0"/>
        <v>0</v>
      </c>
    </row>
    <row r="38" spans="1:71">
      <c r="A38" s="317" t="s">
        <v>172</v>
      </c>
      <c r="E38" s="312"/>
      <c r="H38" s="325"/>
      <c r="K38" s="325"/>
      <c r="N38" s="325"/>
      <c r="Q38" s="325"/>
      <c r="T38" s="325"/>
      <c r="W38" s="325"/>
      <c r="Z38" s="325"/>
      <c r="AC38" s="325"/>
      <c r="AD38" s="239"/>
      <c r="AE38" s="239"/>
      <c r="AF38" s="327"/>
      <c r="AI38" s="325"/>
      <c r="AL38" s="325"/>
      <c r="AO38" s="311" t="str">
        <f t="shared" si="1"/>
        <v xml:space="preserve">New Taiwan Dollar </v>
      </c>
      <c r="AR38" s="325"/>
      <c r="AU38" s="325"/>
      <c r="AX38" s="325"/>
      <c r="BA38" s="325"/>
      <c r="BD38" s="325"/>
      <c r="BG38" s="325"/>
      <c r="BJ38" s="325"/>
      <c r="BM38" s="325"/>
      <c r="BN38" s="312"/>
      <c r="BO38" s="312"/>
      <c r="BP38" s="325"/>
      <c r="BS38" s="316">
        <f t="shared" si="0"/>
        <v>0</v>
      </c>
    </row>
    <row r="39" spans="1:71">
      <c r="A39" s="317" t="s">
        <v>173</v>
      </c>
      <c r="E39" s="312"/>
      <c r="H39" s="325"/>
      <c r="K39" s="325"/>
      <c r="N39" s="325"/>
      <c r="Q39" s="325"/>
      <c r="T39" s="325"/>
      <c r="W39" s="325"/>
      <c r="Z39" s="325"/>
      <c r="AC39" s="325"/>
      <c r="AD39" s="239"/>
      <c r="AE39" s="239"/>
      <c r="AF39" s="327"/>
      <c r="AI39" s="325"/>
      <c r="AL39" s="325"/>
      <c r="AO39" s="311" t="str">
        <f t="shared" si="1"/>
        <v xml:space="preserve">New Zealand Dollar </v>
      </c>
      <c r="AR39" s="325"/>
      <c r="AU39" s="325"/>
      <c r="AX39" s="325"/>
      <c r="BA39" s="325"/>
      <c r="BD39" s="325"/>
      <c r="BG39" s="325"/>
      <c r="BJ39" s="325"/>
      <c r="BM39" s="325"/>
      <c r="BN39" s="312"/>
      <c r="BO39" s="312"/>
      <c r="BP39" s="325"/>
      <c r="BS39" s="316">
        <f t="shared" si="0"/>
        <v>0</v>
      </c>
    </row>
    <row r="40" spans="1:71">
      <c r="A40" s="317" t="s">
        <v>174</v>
      </c>
      <c r="E40" s="312"/>
      <c r="H40" s="325"/>
      <c r="K40" s="325"/>
      <c r="N40" s="325"/>
      <c r="Q40" s="325"/>
      <c r="T40" s="325"/>
      <c r="W40" s="325"/>
      <c r="Z40" s="325"/>
      <c r="AC40" s="325"/>
      <c r="AD40" s="239"/>
      <c r="AE40" s="239"/>
      <c r="AF40" s="327"/>
      <c r="AI40" s="325"/>
      <c r="AL40" s="325"/>
      <c r="AO40" s="311" t="str">
        <f t="shared" si="1"/>
        <v xml:space="preserve">Norwegian Krone </v>
      </c>
      <c r="AR40" s="325"/>
      <c r="AU40" s="325"/>
      <c r="AX40" s="325"/>
      <c r="BA40" s="325"/>
      <c r="BD40" s="325"/>
      <c r="BG40" s="325"/>
      <c r="BJ40" s="325"/>
      <c r="BM40" s="325"/>
      <c r="BN40" s="312"/>
      <c r="BO40" s="312"/>
      <c r="BP40" s="325"/>
      <c r="BS40" s="316">
        <f t="shared" si="0"/>
        <v>0</v>
      </c>
    </row>
    <row r="41" spans="1:71">
      <c r="A41" s="317" t="s">
        <v>3600</v>
      </c>
      <c r="E41" s="312"/>
      <c r="H41" s="325"/>
      <c r="K41" s="325"/>
      <c r="N41" s="325"/>
      <c r="Q41" s="325"/>
      <c r="T41" s="325"/>
      <c r="W41" s="325"/>
      <c r="Z41" s="325"/>
      <c r="AC41" s="325"/>
      <c r="AD41" s="239"/>
      <c r="AE41" s="239"/>
      <c r="AF41" s="327"/>
      <c r="AI41" s="325"/>
      <c r="AL41" s="325"/>
      <c r="AO41" s="311" t="str">
        <f t="shared" si="1"/>
        <v xml:space="preserve">Pakistani Rupee </v>
      </c>
      <c r="AR41" s="325"/>
      <c r="AU41" s="325"/>
      <c r="AX41" s="325"/>
      <c r="BA41" s="325"/>
      <c r="BD41" s="325"/>
      <c r="BG41" s="325"/>
      <c r="BJ41" s="325"/>
      <c r="BM41" s="325"/>
      <c r="BN41" s="312"/>
      <c r="BO41" s="312"/>
      <c r="BP41" s="325"/>
      <c r="BS41" s="316">
        <f t="shared" si="0"/>
        <v>0</v>
      </c>
    </row>
    <row r="42" spans="1:71">
      <c r="A42" s="317" t="s">
        <v>3412</v>
      </c>
      <c r="E42" s="312"/>
      <c r="H42" s="325"/>
      <c r="K42" s="325"/>
      <c r="N42" s="325"/>
      <c r="Q42" s="325"/>
      <c r="T42" s="325"/>
      <c r="W42" s="325"/>
      <c r="Z42" s="325"/>
      <c r="AC42" s="325"/>
      <c r="AD42" s="239"/>
      <c r="AE42" s="239"/>
      <c r="AF42" s="327"/>
      <c r="AI42" s="325"/>
      <c r="AL42" s="325"/>
      <c r="AO42" s="311" t="str">
        <f t="shared" si="1"/>
        <v xml:space="preserve">Peruvian Sol </v>
      </c>
      <c r="AR42" s="325"/>
      <c r="AU42" s="325"/>
      <c r="AX42" s="325"/>
      <c r="BA42" s="325"/>
      <c r="BD42" s="325"/>
      <c r="BG42" s="325"/>
      <c r="BJ42" s="325"/>
      <c r="BM42" s="325"/>
      <c r="BN42" s="312"/>
      <c r="BO42" s="312"/>
      <c r="BP42" s="325"/>
      <c r="BS42" s="316">
        <f t="shared" si="0"/>
        <v>0</v>
      </c>
    </row>
    <row r="43" spans="1:71">
      <c r="A43" s="317" t="s">
        <v>175</v>
      </c>
      <c r="C43" s="318"/>
      <c r="D43" s="318"/>
      <c r="E43" s="312"/>
      <c r="H43" s="325"/>
      <c r="K43" s="325"/>
      <c r="N43" s="325"/>
      <c r="Q43" s="325"/>
      <c r="T43" s="325"/>
      <c r="W43" s="325"/>
      <c r="Z43" s="325"/>
      <c r="AC43" s="325"/>
      <c r="AD43" s="239"/>
      <c r="AE43" s="239"/>
      <c r="AF43" s="327"/>
      <c r="AI43" s="325"/>
      <c r="AL43" s="325"/>
      <c r="AO43" s="311" t="str">
        <f t="shared" si="1"/>
        <v xml:space="preserve">Philippines Peso </v>
      </c>
      <c r="AR43" s="325"/>
      <c r="AU43" s="325"/>
      <c r="AX43" s="325"/>
      <c r="BA43" s="325"/>
      <c r="BD43" s="325"/>
      <c r="BG43" s="325"/>
      <c r="BJ43" s="325"/>
      <c r="BM43" s="325"/>
      <c r="BN43" s="312"/>
      <c r="BO43" s="312"/>
      <c r="BP43" s="325"/>
      <c r="BS43" s="316">
        <f t="shared" si="0"/>
        <v>0</v>
      </c>
    </row>
    <row r="44" spans="1:71">
      <c r="A44" s="317" t="s">
        <v>176</v>
      </c>
      <c r="E44" s="312"/>
      <c r="H44" s="325"/>
      <c r="K44" s="325"/>
      <c r="N44" s="325"/>
      <c r="Q44" s="325"/>
      <c r="T44" s="325"/>
      <c r="W44" s="325"/>
      <c r="Z44" s="325"/>
      <c r="AC44" s="325"/>
      <c r="AD44" s="239"/>
      <c r="AE44" s="239"/>
      <c r="AF44" s="327"/>
      <c r="AI44" s="325"/>
      <c r="AL44" s="325"/>
      <c r="AO44" s="311" t="str">
        <f t="shared" si="1"/>
        <v xml:space="preserve">Polish Zloty </v>
      </c>
      <c r="AR44" s="325"/>
      <c r="AU44" s="325"/>
      <c r="AX44" s="325"/>
      <c r="BA44" s="325"/>
      <c r="BD44" s="325"/>
      <c r="BG44" s="325"/>
      <c r="BJ44" s="325"/>
      <c r="BM44" s="325"/>
      <c r="BN44" s="312"/>
      <c r="BO44" s="312"/>
      <c r="BP44" s="325"/>
      <c r="BS44" s="316">
        <f t="shared" si="0"/>
        <v>0</v>
      </c>
    </row>
    <row r="45" spans="1:71">
      <c r="A45" s="317" t="s">
        <v>3411</v>
      </c>
      <c r="E45" s="312"/>
      <c r="H45" s="325"/>
      <c r="K45" s="325"/>
      <c r="N45" s="325"/>
      <c r="Q45" s="325"/>
      <c r="T45" s="325"/>
      <c r="W45" s="325"/>
      <c r="Z45" s="325"/>
      <c r="AC45" s="325"/>
      <c r="AD45" s="239"/>
      <c r="AE45" s="239"/>
      <c r="AF45" s="327"/>
      <c r="AI45" s="325"/>
      <c r="AL45" s="325"/>
      <c r="AO45" s="311" t="str">
        <f t="shared" ref="AO45" si="8">A45</f>
        <v>Russian Ruble</v>
      </c>
      <c r="AR45" s="325"/>
      <c r="AU45" s="325"/>
      <c r="AX45" s="325"/>
      <c r="BA45" s="325"/>
      <c r="BD45" s="325"/>
      <c r="BG45" s="325"/>
      <c r="BJ45" s="325"/>
      <c r="BM45" s="325"/>
      <c r="BN45" s="312"/>
      <c r="BO45" s="312"/>
      <c r="BP45" s="325"/>
      <c r="BS45" s="316">
        <f t="shared" ref="BS45" si="9">SUM(H45:BP45)</f>
        <v>0</v>
      </c>
    </row>
    <row r="46" spans="1:71">
      <c r="A46" s="317" t="s">
        <v>177</v>
      </c>
      <c r="E46" s="312"/>
      <c r="H46" s="325"/>
      <c r="K46" s="325"/>
      <c r="N46" s="325"/>
      <c r="Q46" s="325"/>
      <c r="T46" s="325"/>
      <c r="W46" s="325"/>
      <c r="Z46" s="325"/>
      <c r="AC46" s="325"/>
      <c r="AD46" s="239"/>
      <c r="AE46" s="239"/>
      <c r="AF46" s="327"/>
      <c r="AI46" s="325"/>
      <c r="AL46" s="325"/>
      <c r="AO46" s="311" t="str">
        <f t="shared" si="1"/>
        <v xml:space="preserve">Singapore Dollar </v>
      </c>
      <c r="AR46" s="325"/>
      <c r="AU46" s="325"/>
      <c r="AX46" s="325"/>
      <c r="BA46" s="325"/>
      <c r="BD46" s="325"/>
      <c r="BG46" s="325"/>
      <c r="BJ46" s="325"/>
      <c r="BM46" s="325"/>
      <c r="BN46" s="312"/>
      <c r="BO46" s="312"/>
      <c r="BP46" s="325"/>
      <c r="BS46" s="316">
        <f t="shared" si="0"/>
        <v>0</v>
      </c>
    </row>
    <row r="47" spans="1:71">
      <c r="A47" s="317" t="s">
        <v>2578</v>
      </c>
      <c r="E47" s="312"/>
      <c r="H47" s="325"/>
      <c r="K47" s="325"/>
      <c r="N47" s="325"/>
      <c r="Q47" s="325"/>
      <c r="T47" s="325"/>
      <c r="W47" s="325"/>
      <c r="Z47" s="325"/>
      <c r="AC47" s="325"/>
      <c r="AD47" s="239"/>
      <c r="AE47" s="239"/>
      <c r="AF47" s="327"/>
      <c r="AI47" s="325"/>
      <c r="AL47" s="325"/>
      <c r="AO47" s="311" t="str">
        <f t="shared" si="1"/>
        <v xml:space="preserve">South African Rand </v>
      </c>
      <c r="AR47" s="325"/>
      <c r="AU47" s="325"/>
      <c r="AX47" s="325"/>
      <c r="BA47" s="325"/>
      <c r="BD47" s="325"/>
      <c r="BG47" s="325"/>
      <c r="BJ47" s="325"/>
      <c r="BM47" s="325"/>
      <c r="BN47" s="312"/>
      <c r="BO47" s="312"/>
      <c r="BP47" s="325"/>
      <c r="BS47" s="316">
        <f>SUM(H47:BP47)</f>
        <v>0</v>
      </c>
    </row>
    <row r="48" spans="1:71">
      <c r="A48" s="317" t="s">
        <v>178</v>
      </c>
      <c r="E48" s="312"/>
      <c r="H48" s="325"/>
      <c r="K48" s="325"/>
      <c r="N48" s="325"/>
      <c r="Q48" s="325"/>
      <c r="T48" s="325"/>
      <c r="W48" s="325"/>
      <c r="Z48" s="325"/>
      <c r="AC48" s="325"/>
      <c r="AD48" s="239"/>
      <c r="AE48" s="239"/>
      <c r="AF48" s="327"/>
      <c r="AI48" s="325"/>
      <c r="AL48" s="325"/>
      <c r="AO48" s="311" t="str">
        <f t="shared" si="1"/>
        <v xml:space="preserve">South Korean Won </v>
      </c>
      <c r="AR48" s="325"/>
      <c r="AU48" s="325"/>
      <c r="AX48" s="325"/>
      <c r="BA48" s="325"/>
      <c r="BD48" s="325"/>
      <c r="BG48" s="325"/>
      <c r="BJ48" s="325"/>
      <c r="BM48" s="325"/>
      <c r="BN48" s="312"/>
      <c r="BO48" s="312"/>
      <c r="BP48" s="325"/>
      <c r="BS48" s="316">
        <f t="shared" si="0"/>
        <v>0</v>
      </c>
    </row>
    <row r="49" spans="1:71">
      <c r="A49" s="317" t="s">
        <v>179</v>
      </c>
      <c r="E49" s="312"/>
      <c r="H49" s="325"/>
      <c r="K49" s="325"/>
      <c r="N49" s="325"/>
      <c r="Q49" s="325"/>
      <c r="T49" s="325"/>
      <c r="W49" s="325"/>
      <c r="Z49" s="325"/>
      <c r="AC49" s="325"/>
      <c r="AD49" s="239"/>
      <c r="AE49" s="239"/>
      <c r="AF49" s="327"/>
      <c r="AI49" s="325"/>
      <c r="AL49" s="325"/>
      <c r="AO49" s="311" t="str">
        <f t="shared" si="1"/>
        <v xml:space="preserve">Sri Lanka Rupee </v>
      </c>
      <c r="AR49" s="325"/>
      <c r="AU49" s="325"/>
      <c r="AX49" s="325"/>
      <c r="BA49" s="325"/>
      <c r="BD49" s="325"/>
      <c r="BG49" s="325"/>
      <c r="BJ49" s="325"/>
      <c r="BM49" s="325"/>
      <c r="BN49" s="312"/>
      <c r="BO49" s="312"/>
      <c r="BP49" s="325"/>
      <c r="BS49" s="316">
        <f t="shared" si="0"/>
        <v>0</v>
      </c>
    </row>
    <row r="50" spans="1:71">
      <c r="A50" s="317" t="s">
        <v>180</v>
      </c>
      <c r="E50" s="312"/>
      <c r="H50" s="325"/>
      <c r="K50" s="325"/>
      <c r="N50" s="325"/>
      <c r="Q50" s="325"/>
      <c r="T50" s="325"/>
      <c r="W50" s="325"/>
      <c r="Z50" s="325"/>
      <c r="AC50" s="325"/>
      <c r="AD50" s="239"/>
      <c r="AE50" s="239"/>
      <c r="AF50" s="327"/>
      <c r="AI50" s="325"/>
      <c r="AL50" s="325"/>
      <c r="AO50" s="311" t="str">
        <f t="shared" si="1"/>
        <v xml:space="preserve">Swedish Krona </v>
      </c>
      <c r="AR50" s="325"/>
      <c r="AU50" s="325"/>
      <c r="AX50" s="325"/>
      <c r="BA50" s="325"/>
      <c r="BD50" s="325"/>
      <c r="BG50" s="325"/>
      <c r="BJ50" s="325"/>
      <c r="BM50" s="325"/>
      <c r="BN50" s="312"/>
      <c r="BO50" s="312"/>
      <c r="BP50" s="325"/>
      <c r="BS50" s="316">
        <f t="shared" si="0"/>
        <v>0</v>
      </c>
    </row>
    <row r="51" spans="1:71">
      <c r="A51" s="317" t="s">
        <v>181</v>
      </c>
      <c r="E51" s="312"/>
      <c r="H51" s="325"/>
      <c r="K51" s="325"/>
      <c r="N51" s="325"/>
      <c r="Q51" s="325"/>
      <c r="T51" s="325"/>
      <c r="W51" s="325"/>
      <c r="Z51" s="325"/>
      <c r="AC51" s="325"/>
      <c r="AD51" s="239"/>
      <c r="AE51" s="239"/>
      <c r="AF51" s="327"/>
      <c r="AI51" s="325"/>
      <c r="AL51" s="325"/>
      <c r="AO51" s="311" t="str">
        <f t="shared" si="1"/>
        <v xml:space="preserve">Swiss Franc </v>
      </c>
      <c r="AR51" s="325"/>
      <c r="AU51" s="325"/>
      <c r="AX51" s="325"/>
      <c r="BA51" s="325"/>
      <c r="BD51" s="325"/>
      <c r="BG51" s="325"/>
      <c r="BJ51" s="325"/>
      <c r="BM51" s="325"/>
      <c r="BN51" s="312"/>
      <c r="BO51" s="312"/>
      <c r="BP51" s="325"/>
      <c r="BS51" s="316">
        <f t="shared" si="0"/>
        <v>0</v>
      </c>
    </row>
    <row r="52" spans="1:71">
      <c r="A52" s="317" t="s">
        <v>182</v>
      </c>
      <c r="E52" s="312"/>
      <c r="H52" s="325"/>
      <c r="K52" s="325"/>
      <c r="N52" s="325"/>
      <c r="Q52" s="325"/>
      <c r="T52" s="325"/>
      <c r="W52" s="325"/>
      <c r="Z52" s="325"/>
      <c r="AC52" s="325"/>
      <c r="AD52" s="239"/>
      <c r="AE52" s="239"/>
      <c r="AF52" s="327"/>
      <c r="AI52" s="325"/>
      <c r="AL52" s="325"/>
      <c r="AO52" s="311" t="str">
        <f t="shared" si="1"/>
        <v xml:space="preserve">Thailand Baht </v>
      </c>
      <c r="AR52" s="325"/>
      <c r="AU52" s="325"/>
      <c r="AX52" s="325"/>
      <c r="BA52" s="325"/>
      <c r="BD52" s="325"/>
      <c r="BG52" s="325"/>
      <c r="BJ52" s="325"/>
      <c r="BM52" s="325"/>
      <c r="BN52" s="312"/>
      <c r="BO52" s="312"/>
      <c r="BP52" s="325"/>
      <c r="BS52" s="316">
        <f t="shared" si="0"/>
        <v>0</v>
      </c>
    </row>
    <row r="53" spans="1:71">
      <c r="A53" s="317" t="s">
        <v>183</v>
      </c>
      <c r="E53" s="312"/>
      <c r="H53" s="325"/>
      <c r="K53" s="325"/>
      <c r="N53" s="325"/>
      <c r="Q53" s="325"/>
      <c r="T53" s="325"/>
      <c r="W53" s="325"/>
      <c r="Z53" s="325"/>
      <c r="AC53" s="325"/>
      <c r="AD53" s="239"/>
      <c r="AE53" s="239"/>
      <c r="AF53" s="327"/>
      <c r="AI53" s="325"/>
      <c r="AL53" s="325"/>
      <c r="AO53" s="311" t="str">
        <f t="shared" si="1"/>
        <v xml:space="preserve">Turkish Lira </v>
      </c>
      <c r="AR53" s="325"/>
      <c r="AU53" s="325"/>
      <c r="AX53" s="325"/>
      <c r="BA53" s="325"/>
      <c r="BD53" s="325"/>
      <c r="BG53" s="325"/>
      <c r="BJ53" s="325"/>
      <c r="BM53" s="325"/>
      <c r="BN53" s="312"/>
      <c r="BO53" s="312"/>
      <c r="BP53" s="325"/>
      <c r="BS53" s="316">
        <f t="shared" si="0"/>
        <v>0</v>
      </c>
    </row>
    <row r="54" spans="1:71">
      <c r="A54" s="317" t="s">
        <v>3551</v>
      </c>
      <c r="E54" s="312"/>
      <c r="H54" s="325"/>
      <c r="K54" s="325"/>
      <c r="N54" s="325"/>
      <c r="Q54" s="325"/>
      <c r="T54" s="325"/>
      <c r="W54" s="325"/>
      <c r="Z54" s="325"/>
      <c r="AC54" s="325"/>
      <c r="AD54" s="239"/>
      <c r="AE54" s="239"/>
      <c r="AF54" s="327"/>
      <c r="AI54" s="325"/>
      <c r="AL54" s="325"/>
      <c r="AO54" s="311" t="str">
        <f t="shared" si="1"/>
        <v>United Arab Emirates Dollar</v>
      </c>
      <c r="AR54" s="325"/>
      <c r="AU54" s="325"/>
      <c r="AX54" s="325"/>
      <c r="BA54" s="325"/>
      <c r="BD54" s="325"/>
      <c r="BG54" s="325"/>
      <c r="BJ54" s="325"/>
      <c r="BM54" s="325"/>
      <c r="BN54" s="312"/>
      <c r="BO54" s="312"/>
      <c r="BP54" s="325"/>
      <c r="BS54" s="316">
        <f t="shared" si="0"/>
        <v>0</v>
      </c>
    </row>
    <row r="55" spans="1:71">
      <c r="A55" s="317" t="s">
        <v>3552</v>
      </c>
      <c r="E55" s="312"/>
      <c r="H55" s="325"/>
      <c r="K55" s="325"/>
      <c r="N55" s="325"/>
      <c r="Q55" s="325"/>
      <c r="T55" s="325"/>
      <c r="W55" s="325"/>
      <c r="Z55" s="325"/>
      <c r="AC55" s="325"/>
      <c r="AD55" s="239"/>
      <c r="AE55" s="239"/>
      <c r="AF55" s="327"/>
      <c r="AI55" s="325"/>
      <c r="AL55" s="325"/>
      <c r="AO55" s="311" t="str">
        <f t="shared" ref="AO55" si="10">A55</f>
        <v>Uruguayan Peso</v>
      </c>
      <c r="AR55" s="325"/>
      <c r="AU55" s="325"/>
      <c r="AX55" s="325"/>
      <c r="BA55" s="325"/>
      <c r="BD55" s="325"/>
      <c r="BG55" s="325"/>
      <c r="BJ55" s="325"/>
      <c r="BM55" s="325"/>
      <c r="BN55" s="312"/>
      <c r="BO55" s="312"/>
      <c r="BP55" s="325"/>
      <c r="BS55" s="316">
        <f t="shared" ref="BS55" si="11">SUM(H55:BP55)</f>
        <v>0</v>
      </c>
    </row>
    <row r="56" spans="1:71">
      <c r="A56" s="317" t="s">
        <v>3250</v>
      </c>
      <c r="E56" s="312"/>
      <c r="H56" s="325"/>
      <c r="K56" s="325"/>
      <c r="N56" s="325"/>
      <c r="Q56" s="325"/>
      <c r="T56" s="325"/>
      <c r="W56" s="325"/>
      <c r="Z56" s="325"/>
      <c r="AC56" s="325"/>
      <c r="AD56" s="239"/>
      <c r="AE56" s="239"/>
      <c r="AF56" s="327"/>
      <c r="AI56" s="325"/>
      <c r="AL56" s="325"/>
      <c r="AO56" s="311" t="str">
        <f t="shared" si="1"/>
        <v>U.S. Dollar</v>
      </c>
      <c r="AR56" s="325"/>
      <c r="AU56" s="325"/>
      <c r="AX56" s="325"/>
      <c r="BA56" s="325"/>
      <c r="BD56" s="325"/>
      <c r="BG56" s="325"/>
      <c r="BJ56" s="325"/>
      <c r="BM56" s="325"/>
      <c r="BN56" s="312"/>
      <c r="BO56" s="312"/>
      <c r="BP56" s="325"/>
      <c r="BS56" s="316">
        <f t="shared" si="0"/>
        <v>0</v>
      </c>
    </row>
    <row r="57" spans="1:71">
      <c r="A57" s="317" t="s">
        <v>184</v>
      </c>
      <c r="E57" s="312"/>
      <c r="H57" s="319"/>
      <c r="K57" s="319"/>
      <c r="N57" s="319"/>
      <c r="Q57" s="319"/>
      <c r="T57" s="319"/>
      <c r="W57" s="319"/>
      <c r="Z57" s="319"/>
      <c r="AC57" s="319"/>
      <c r="AF57" s="314"/>
      <c r="AI57" s="319"/>
      <c r="AL57" s="319"/>
      <c r="AO57" s="311" t="str">
        <f t="shared" si="1"/>
        <v>Other (Please list)</v>
      </c>
      <c r="AR57" s="319"/>
      <c r="AU57" s="319"/>
      <c r="AX57" s="319"/>
      <c r="BA57" s="319"/>
      <c r="BD57" s="319"/>
      <c r="BG57" s="319"/>
      <c r="BJ57" s="319"/>
      <c r="BM57" s="319"/>
      <c r="BP57" s="319"/>
    </row>
    <row r="58" spans="1:71">
      <c r="A58" s="317"/>
      <c r="B58" s="121"/>
      <c r="E58" s="312"/>
      <c r="H58" s="325"/>
      <c r="K58" s="325"/>
      <c r="N58" s="325"/>
      <c r="Q58" s="325"/>
      <c r="T58" s="325"/>
      <c r="W58" s="325"/>
      <c r="Z58" s="325"/>
      <c r="AC58" s="325"/>
      <c r="AD58" s="239"/>
      <c r="AE58" s="239"/>
      <c r="AF58" s="327"/>
      <c r="AI58" s="325"/>
      <c r="AL58" s="325"/>
      <c r="AO58" s="121"/>
      <c r="AR58" s="325"/>
      <c r="AU58" s="325"/>
      <c r="AX58" s="325"/>
      <c r="BA58" s="325"/>
      <c r="BD58" s="325"/>
      <c r="BG58" s="325"/>
      <c r="BJ58" s="325"/>
      <c r="BM58" s="325"/>
      <c r="BN58" s="312"/>
      <c r="BO58" s="312"/>
      <c r="BP58" s="325"/>
      <c r="BS58" s="316">
        <f t="shared" si="0"/>
        <v>0</v>
      </c>
    </row>
    <row r="59" spans="1:71">
      <c r="A59" s="317"/>
      <c r="B59" s="121"/>
      <c r="E59" s="312"/>
      <c r="H59" s="325"/>
      <c r="K59" s="325"/>
      <c r="N59" s="325"/>
      <c r="Q59" s="325"/>
      <c r="T59" s="325"/>
      <c r="W59" s="325"/>
      <c r="Z59" s="325"/>
      <c r="AC59" s="325"/>
      <c r="AD59" s="239"/>
      <c r="AE59" s="239"/>
      <c r="AF59" s="327"/>
      <c r="AI59" s="325"/>
      <c r="AL59" s="325"/>
      <c r="AO59" s="121"/>
      <c r="AR59" s="325"/>
      <c r="AU59" s="325"/>
      <c r="AX59" s="325"/>
      <c r="BA59" s="325"/>
      <c r="BD59" s="325"/>
      <c r="BG59" s="325"/>
      <c r="BJ59" s="325"/>
      <c r="BM59" s="325"/>
      <c r="BN59" s="312"/>
      <c r="BO59" s="312"/>
      <c r="BP59" s="325"/>
      <c r="BS59" s="316">
        <f t="shared" si="0"/>
        <v>0</v>
      </c>
    </row>
    <row r="60" spans="1:71">
      <c r="A60" s="317"/>
      <c r="B60" s="121"/>
      <c r="E60" s="312"/>
      <c r="H60" s="325"/>
      <c r="K60" s="325"/>
      <c r="N60" s="325"/>
      <c r="Q60" s="325"/>
      <c r="T60" s="325"/>
      <c r="W60" s="325"/>
      <c r="Z60" s="325"/>
      <c r="AC60" s="325"/>
      <c r="AD60" s="239"/>
      <c r="AE60" s="239"/>
      <c r="AF60" s="327"/>
      <c r="AI60" s="325"/>
      <c r="AL60" s="325"/>
      <c r="AO60" s="121"/>
      <c r="AR60" s="325"/>
      <c r="AU60" s="325"/>
      <c r="AX60" s="325"/>
      <c r="BA60" s="325"/>
      <c r="BD60" s="325"/>
      <c r="BG60" s="325"/>
      <c r="BJ60" s="325"/>
      <c r="BM60" s="325"/>
      <c r="BN60" s="312"/>
      <c r="BO60" s="312"/>
      <c r="BP60" s="325"/>
      <c r="BS60" s="316">
        <f t="shared" si="0"/>
        <v>0</v>
      </c>
    </row>
    <row r="61" spans="1:71">
      <c r="A61" s="317"/>
      <c r="B61" s="121"/>
      <c r="E61" s="312"/>
      <c r="H61" s="325"/>
      <c r="K61" s="325"/>
      <c r="N61" s="325"/>
      <c r="Q61" s="325"/>
      <c r="T61" s="325"/>
      <c r="W61" s="325"/>
      <c r="Z61" s="325"/>
      <c r="AC61" s="325"/>
      <c r="AD61" s="239"/>
      <c r="AE61" s="239"/>
      <c r="AF61" s="327"/>
      <c r="AI61" s="325"/>
      <c r="AL61" s="325"/>
      <c r="AO61" s="121"/>
      <c r="AR61" s="325"/>
      <c r="AU61" s="325"/>
      <c r="AX61" s="325"/>
      <c r="BA61" s="325"/>
      <c r="BD61" s="325"/>
      <c r="BG61" s="325"/>
      <c r="BJ61" s="325"/>
      <c r="BM61" s="325"/>
      <c r="BN61" s="312"/>
      <c r="BO61" s="312"/>
      <c r="BP61" s="325"/>
      <c r="BS61" s="316">
        <f t="shared" si="0"/>
        <v>0</v>
      </c>
    </row>
    <row r="62" spans="1:71">
      <c r="A62" s="317"/>
      <c r="B62" s="121"/>
      <c r="E62" s="312"/>
      <c r="H62" s="325"/>
      <c r="K62" s="325"/>
      <c r="N62" s="325"/>
      <c r="Q62" s="325"/>
      <c r="T62" s="325"/>
      <c r="W62" s="325"/>
      <c r="Z62" s="325"/>
      <c r="AC62" s="325"/>
      <c r="AD62" s="239"/>
      <c r="AE62" s="239"/>
      <c r="AF62" s="327"/>
      <c r="AI62" s="325"/>
      <c r="AL62" s="325"/>
      <c r="AO62" s="121"/>
      <c r="AR62" s="325"/>
      <c r="AU62" s="325"/>
      <c r="AX62" s="325"/>
      <c r="BA62" s="325"/>
      <c r="BD62" s="325"/>
      <c r="BG62" s="325"/>
      <c r="BJ62" s="325"/>
      <c r="BM62" s="325"/>
      <c r="BN62" s="312"/>
      <c r="BO62" s="312"/>
      <c r="BP62" s="325"/>
      <c r="BS62" s="316">
        <f t="shared" si="0"/>
        <v>0</v>
      </c>
    </row>
    <row r="63" spans="1:71">
      <c r="A63" s="317"/>
      <c r="B63" s="121"/>
      <c r="E63" s="312"/>
      <c r="H63" s="325"/>
      <c r="K63" s="325"/>
      <c r="N63" s="325"/>
      <c r="Q63" s="325"/>
      <c r="T63" s="325"/>
      <c r="W63" s="325"/>
      <c r="Z63" s="325"/>
      <c r="AC63" s="325"/>
      <c r="AD63" s="239"/>
      <c r="AE63" s="239"/>
      <c r="AF63" s="327"/>
      <c r="AI63" s="325"/>
      <c r="AL63" s="325"/>
      <c r="AO63" s="121"/>
      <c r="AR63" s="325"/>
      <c r="AU63" s="325"/>
      <c r="AX63" s="325"/>
      <c r="BA63" s="325"/>
      <c r="BD63" s="325"/>
      <c r="BG63" s="325"/>
      <c r="BJ63" s="325"/>
      <c r="BM63" s="325"/>
      <c r="BN63" s="312"/>
      <c r="BO63" s="312"/>
      <c r="BP63" s="325"/>
      <c r="BS63" s="316">
        <f t="shared" si="0"/>
        <v>0</v>
      </c>
    </row>
    <row r="64" spans="1:71" ht="13.5" thickBot="1">
      <c r="A64" s="318"/>
      <c r="E64" s="320"/>
      <c r="G64" s="321" t="s">
        <v>374</v>
      </c>
      <c r="H64" s="322">
        <f>SUM(H15:H63)</f>
        <v>0</v>
      </c>
      <c r="J64" s="321" t="s">
        <v>374</v>
      </c>
      <c r="K64" s="322">
        <f>SUM(K15:K63)</f>
        <v>0</v>
      </c>
      <c r="M64" s="321" t="s">
        <v>374</v>
      </c>
      <c r="N64" s="322">
        <f>SUM(N15:N63)</f>
        <v>0</v>
      </c>
      <c r="P64" s="321" t="s">
        <v>374</v>
      </c>
      <c r="Q64" s="322">
        <f>SUM(Q15:Q63)</f>
        <v>0</v>
      </c>
      <c r="S64" s="321" t="s">
        <v>374</v>
      </c>
      <c r="T64" s="322">
        <f>SUM(T15:T63)</f>
        <v>0</v>
      </c>
      <c r="V64" s="321" t="s">
        <v>374</v>
      </c>
      <c r="W64" s="322">
        <f>SUM(W15:W63)</f>
        <v>0</v>
      </c>
      <c r="Y64" s="321" t="s">
        <v>374</v>
      </c>
      <c r="Z64" s="322">
        <f>SUM(Z15:Z63)</f>
        <v>0</v>
      </c>
      <c r="AB64" s="321" t="s">
        <v>374</v>
      </c>
      <c r="AC64" s="322">
        <f>SUM(AC15:AC63)</f>
        <v>0</v>
      </c>
      <c r="AE64" s="321" t="s">
        <v>374</v>
      </c>
      <c r="AF64" s="322">
        <f>SUM(AF15:AF63)</f>
        <v>0</v>
      </c>
      <c r="AH64" s="321" t="s">
        <v>374</v>
      </c>
      <c r="AI64" s="322">
        <f>SUM(AI15:AI63)</f>
        <v>0</v>
      </c>
      <c r="AK64" s="321" t="s">
        <v>374</v>
      </c>
      <c r="AL64" s="322">
        <f>SUM(AL15:AL63)</f>
        <v>0</v>
      </c>
      <c r="AQ64" s="321" t="s">
        <v>374</v>
      </c>
      <c r="AR64" s="322">
        <f>SUM(AR15:AR63)</f>
        <v>0</v>
      </c>
      <c r="AT64" s="321" t="s">
        <v>374</v>
      </c>
      <c r="AU64" s="322">
        <f>SUM(AU15:AU63)</f>
        <v>0</v>
      </c>
      <c r="AW64" s="321" t="s">
        <v>374</v>
      </c>
      <c r="AX64" s="322">
        <f>SUM(AX15:AX63)</f>
        <v>0</v>
      </c>
      <c r="AZ64" s="321" t="s">
        <v>374</v>
      </c>
      <c r="BA64" s="322">
        <f>SUM(BA15:BA63)</f>
        <v>0</v>
      </c>
      <c r="BC64" s="321" t="s">
        <v>374</v>
      </c>
      <c r="BD64" s="322">
        <f>SUM(BD15:BD63)</f>
        <v>0</v>
      </c>
      <c r="BF64" s="321" t="s">
        <v>374</v>
      </c>
      <c r="BG64" s="322">
        <f>SUM(BG15:BG63)</f>
        <v>0</v>
      </c>
      <c r="BI64" s="321" t="s">
        <v>374</v>
      </c>
      <c r="BJ64" s="322">
        <f>SUM(BJ15:BJ63)</f>
        <v>0</v>
      </c>
      <c r="BL64" s="321" t="s">
        <v>374</v>
      </c>
      <c r="BM64" s="322">
        <f>SUM(BM15:BM63)</f>
        <v>0</v>
      </c>
      <c r="BN64" s="320"/>
      <c r="BO64" s="321" t="s">
        <v>374</v>
      </c>
      <c r="BP64" s="322">
        <f>SUM(BP15:BP63)</f>
        <v>0</v>
      </c>
      <c r="BR64" s="321" t="s">
        <v>374</v>
      </c>
      <c r="BS64" s="323">
        <f>SUM(BS15:BS63)</f>
        <v>0</v>
      </c>
    </row>
    <row r="65" spans="1:71" ht="13.5" thickTop="1">
      <c r="A65" s="318"/>
      <c r="BS65" s="328" t="str">
        <f>IF(BS64='Tab 1A-GASB 3-40'!H128,"Agrees","ERROR!")</f>
        <v>Agrees</v>
      </c>
    </row>
    <row r="66" spans="1:71">
      <c r="A66" s="318"/>
    </row>
    <row r="67" spans="1:71">
      <c r="A67" s="318"/>
      <c r="BP67" s="324" t="s">
        <v>309</v>
      </c>
      <c r="BS67" s="278">
        <f>BS64-'Tab 1A-GASB 3-40'!H128</f>
        <v>0</v>
      </c>
    </row>
    <row r="68" spans="1:71">
      <c r="A68" s="318"/>
    </row>
    <row r="69" spans="1:71">
      <c r="A69" s="318"/>
    </row>
    <row r="70" spans="1:71">
      <c r="A70" s="318"/>
    </row>
    <row r="71" spans="1:71">
      <c r="A71" s="318"/>
    </row>
    <row r="72" spans="1:71">
      <c r="A72" s="318"/>
    </row>
  </sheetData>
  <sheetProtection algorithmName="SHA-512" hashValue="zmSN2WndqCXHiRXFNKLHJpXqLdqNLof0UNGKt2HJbEsdDce+yp1o7bBW3QPk7JO/4yeo2qCYSmLQyRagApgRBQ==" saltValue="ZXW2WpCaByc06EoZRGJ/cA==" spinCount="100000" sheet="1" objects="1" scenarios="1"/>
  <customSheetViews>
    <customSheetView guid="{354F272F-821B-473B-9CC5-4001AD879606}" hiddenRows="1" hiddenColumns="1" topLeftCell="AS16">
      <selection activeCell="BP48" sqref="BP48"/>
      <colBreaks count="1" manualBreakCount="1">
        <brk id="39" max="1048575" man="1"/>
      </colBreaks>
      <pageMargins left="0.75" right="0.75" top="1" bottom="1" header="0.5" footer="0.5"/>
      <pageSetup paperSize="5" scale="48" fitToWidth="2" fitToHeight="2" orientation="landscape" cellComments="asDisplayed" r:id="rId1"/>
      <headerFooter alignWithMargins="0">
        <oddHeader>&amp;C&amp;"Times New Roman,Bold"&amp;9Attachment 9
Governmental Fund Financial Statement Template
&amp;A</oddHeader>
        <oddFooter>&amp;L&amp;"Times New Roman,Regular"&amp;F \ &amp;A&amp;R&amp;"Times New Roman,Regular"Page &amp;P</oddFooter>
      </headerFooter>
    </customSheetView>
  </customSheetViews>
  <mergeCells count="16">
    <mergeCell ref="A1:D1"/>
    <mergeCell ref="A3:D3"/>
    <mergeCell ref="A4:D4"/>
    <mergeCell ref="E1:K1"/>
    <mergeCell ref="E3:K3"/>
    <mergeCell ref="E4:K4"/>
    <mergeCell ref="A12:K12"/>
    <mergeCell ref="A5:D5"/>
    <mergeCell ref="A8:D8"/>
    <mergeCell ref="A6:D6"/>
    <mergeCell ref="A7:D7"/>
    <mergeCell ref="E5:K5"/>
    <mergeCell ref="E6:K6"/>
    <mergeCell ref="E7:K7"/>
    <mergeCell ref="E8:K8"/>
    <mergeCell ref="A11:K11"/>
  </mergeCells>
  <phoneticPr fontId="40" type="noConversion"/>
  <conditionalFormatting sqref="A12">
    <cfRule type="containsText" dxfId="100" priority="2" operator="containsText" text="Answer Required">
      <formula>NOT(ISERROR(SEARCH("Answer Required",A12)))</formula>
    </cfRule>
  </conditionalFormatting>
  <conditionalFormatting sqref="A12:K12">
    <cfRule type="cellIs" dxfId="99" priority="1" operator="equal">
      <formula>"Answer Required"</formula>
    </cfRule>
  </conditionalFormatting>
  <dataValidations count="3">
    <dataValidation type="whole" allowBlank="1" showInputMessage="1" showErrorMessage="1" error="Please enter a whole number only." sqref="BO16:BO18 BN15:BN18 BN18:BO63 E15:E63 AF15:AF63" xr:uid="{00000000-0002-0000-0900-000000000000}">
      <formula1>-999999999999999</formula1>
      <formula2>999999999999999</formula2>
    </dataValidation>
    <dataValidation type="whole" allowBlank="1" showInputMessage="1" showErrorMessage="1" error="Enter a whole number." sqref="AC57 BJ57 K57 BM57 N57 Q57 T57 Z57 W57 BG57 AI57 AL57 AR57 AU57 BP57 BD57 H57 AX57 BA57" xr:uid="{00000000-0002-0000-0900-000001000000}">
      <formula1>-999999999999999</formula1>
      <formula2>999999999999999</formula2>
    </dataValidation>
    <dataValidation type="whole" allowBlank="1" showInputMessage="1" showErrorMessage="1" error="Enter a whole number." sqref="AU58:AU63 BJ58:BJ63 H58:H63 K58:K63 BM58:BM63 N58:N63 Q58:Q63 T58:T63 W58:W63 Z58:Z63 AC58:AC63 AI58:AI63 AL58:AL63 AR58:AR63 BG58:BG63 BD58:BD63 AX58:AX63 BP58:BP63 BA58:BA63 BA15:BA56 AU15:AU56 BJ15:BJ56 H15:H56 K15:K56 BM15:BM56 N15:N56 Q15:Q56 T15:T56 W15:W56 Z15:Z56 AC15:AC56 AI15:AI56 AL15:AL56 AR15:AR56 BD15:BD56 BG15:BG56 BP15:BP56 AX15:AX56" xr:uid="{00000000-0002-0000-0900-000002000000}">
      <formula1>-9999999999999</formula1>
      <formula2>9999999999999</formula2>
    </dataValidation>
  </dataValidations>
  <pageMargins left="0.75" right="0.25" top="1" bottom="1" header="0.5" footer="0.5"/>
  <pageSetup paperSize="5" scale="48" fitToWidth="2" orientation="landscape" cellComments="asDisplayed" r:id="rId2"/>
  <headerFooter alignWithMargins="0">
    <oddHeader>&amp;C&amp;"Times New Roman,Bold"&amp;9Attachment 9
Governmental Fund Financial Statement Template
&amp;A</oddHeader>
    <oddFooter>&amp;L&amp;"Times New Roman,Regular"&amp;F \ &amp;A&amp;R&amp;"Times New Roman,Regular"Page &amp;P</oddFooter>
  </headerFooter>
  <colBreaks count="1" manualBreakCount="1">
    <brk id="39" max="67" man="1"/>
  </col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3"/>
  <sheetViews>
    <sheetView zoomScaleNormal="100" workbookViewId="0">
      <selection activeCell="B1" sqref="B1:G1"/>
    </sheetView>
  </sheetViews>
  <sheetFormatPr defaultColWidth="9.140625" defaultRowHeight="12.75"/>
  <cols>
    <col min="1" max="1" width="21.7109375" style="191" customWidth="1"/>
    <col min="2" max="2" width="33.7109375" style="191" customWidth="1"/>
    <col min="3" max="3" width="37.85546875" style="191" customWidth="1"/>
    <col min="4" max="4" width="11.7109375" style="191" customWidth="1"/>
    <col min="5" max="5" width="10.5703125" style="191" customWidth="1"/>
    <col min="6" max="6" width="11.28515625" style="191" customWidth="1"/>
    <col min="7" max="7" width="11.85546875" style="191" bestFit="1" customWidth="1"/>
    <col min="8" max="16384" width="9.140625" style="191"/>
  </cols>
  <sheetData>
    <row r="1" spans="1:8">
      <c r="A1" s="338" t="s">
        <v>399</v>
      </c>
      <c r="B1" s="1032" t="str">
        <f>IF('Fund Financial Stmt Template'!E1="","",'Fund Financial Stmt Template'!E1)</f>
        <v/>
      </c>
      <c r="C1" s="1033"/>
      <c r="D1" s="1033"/>
      <c r="E1" s="1034"/>
    </row>
    <row r="2" spans="1:8" ht="24.95" customHeight="1">
      <c r="A2" s="338" t="s">
        <v>362</v>
      </c>
      <c r="B2" s="1035" t="str">
        <f>'Fund Financial Stmt Template'!E2</f>
        <v/>
      </c>
      <c r="C2" s="1036"/>
      <c r="D2" s="1036"/>
      <c r="E2" s="1037"/>
    </row>
    <row r="3" spans="1:8">
      <c r="A3" s="50" t="s">
        <v>225</v>
      </c>
      <c r="B3" s="1038" t="str">
        <f>IF('Fund Financial Stmt Template'!E3="","",'Fund Financial Stmt Template'!E3)</f>
        <v/>
      </c>
      <c r="C3" s="1039"/>
      <c r="D3" s="1039"/>
      <c r="E3" s="1040"/>
    </row>
    <row r="4" spans="1:8" ht="21.75">
      <c r="A4" s="754" t="s">
        <v>420</v>
      </c>
      <c r="B4" s="1041" t="str">
        <f>IF('Fund Financial Stmt Template'!E4="","",'Fund Financial Stmt Template'!E4)</f>
        <v/>
      </c>
      <c r="C4" s="1042"/>
      <c r="D4" s="1042"/>
      <c r="E4" s="1043"/>
    </row>
    <row r="5" spans="1:8" ht="21.75">
      <c r="A5" s="754" t="s">
        <v>421</v>
      </c>
      <c r="B5" s="1026" t="str">
        <f>IF('Fund Financial Stmt Template'!E5="","",'Fund Financial Stmt Template'!E5)</f>
        <v/>
      </c>
      <c r="C5" s="1027"/>
      <c r="D5" s="1027"/>
      <c r="E5" s="1028"/>
    </row>
    <row r="6" spans="1:8">
      <c r="A6" s="51" t="s">
        <v>418</v>
      </c>
      <c r="B6" s="1029" t="str">
        <f>IF('Fund Financial Stmt Template'!E6="","",'Fund Financial Stmt Template'!E6)</f>
        <v/>
      </c>
      <c r="C6" s="1030"/>
      <c r="D6" s="1030"/>
      <c r="E6" s="1031"/>
    </row>
    <row r="8" spans="1:8" ht="25.5" customHeight="1">
      <c r="A8" s="908" t="s">
        <v>491</v>
      </c>
      <c r="B8" s="1044"/>
      <c r="C8" s="1045" t="str">
        <f>IF('Fund Financial Stmt Template'!$E$8="","",'Fund Financial Stmt Template'!$E$8)</f>
        <v/>
      </c>
      <c r="D8" s="1046"/>
      <c r="E8" s="1047"/>
      <c r="F8" s="329"/>
      <c r="G8" s="330"/>
      <c r="H8" s="329"/>
    </row>
    <row r="9" spans="1:8" ht="13.5" customHeight="1">
      <c r="A9" s="331"/>
      <c r="B9" s="331"/>
      <c r="C9" s="331"/>
      <c r="D9" s="331"/>
      <c r="E9" s="331"/>
      <c r="F9" s="331"/>
      <c r="G9" s="331"/>
      <c r="H9" s="331"/>
    </row>
    <row r="10" spans="1:8">
      <c r="A10" s="332" t="s">
        <v>522</v>
      </c>
      <c r="C10" s="332"/>
      <c r="D10" s="332"/>
      <c r="E10" s="332"/>
      <c r="F10" s="332"/>
      <c r="G10" s="332"/>
      <c r="H10" s="331"/>
    </row>
    <row r="11" spans="1:8">
      <c r="A11" s="333" t="s">
        <v>820</v>
      </c>
      <c r="C11" s="332"/>
      <c r="D11" s="332"/>
      <c r="E11" s="332"/>
      <c r="F11" s="332"/>
      <c r="G11" s="332"/>
      <c r="H11" s="331"/>
    </row>
    <row r="12" spans="1:8">
      <c r="A12" s="333" t="s">
        <v>803</v>
      </c>
      <c r="B12" s="332"/>
      <c r="C12" s="332"/>
      <c r="D12" s="332"/>
      <c r="E12" s="332"/>
      <c r="F12" s="332"/>
      <c r="G12" s="332"/>
      <c r="H12" s="331"/>
    </row>
    <row r="13" spans="1:8">
      <c r="A13" s="332" t="s">
        <v>804</v>
      </c>
      <c r="B13" s="332"/>
      <c r="C13" s="332"/>
      <c r="D13" s="332"/>
      <c r="E13" s="332"/>
      <c r="F13" s="332"/>
      <c r="G13" s="332"/>
      <c r="H13" s="331"/>
    </row>
    <row r="14" spans="1:8">
      <c r="A14" s="332"/>
      <c r="B14" s="332"/>
      <c r="C14" s="332"/>
      <c r="D14" s="332"/>
      <c r="E14" s="332"/>
      <c r="F14" s="332"/>
      <c r="G14" s="332"/>
      <c r="H14" s="331"/>
    </row>
    <row r="15" spans="1:8" ht="26.25" thickBot="1">
      <c r="A15" s="334" t="s">
        <v>601</v>
      </c>
      <c r="B15" s="335" t="s">
        <v>49</v>
      </c>
      <c r="C15" s="336" t="s">
        <v>602</v>
      </c>
      <c r="D15" s="337" t="s">
        <v>763</v>
      </c>
      <c r="E15" s="332"/>
      <c r="F15" s="332"/>
      <c r="G15" s="332"/>
      <c r="H15" s="331"/>
    </row>
    <row r="16" spans="1:8" ht="51">
      <c r="A16" s="339" t="s">
        <v>603</v>
      </c>
      <c r="B16" s="340" t="s">
        <v>50</v>
      </c>
      <c r="C16" s="341" t="s">
        <v>604</v>
      </c>
      <c r="D16" s="112" t="str">
        <f>IF(('Fund Financial Stmt Template'!$O$28+SUM('Fund Financial Stmt Template'!$O$21:$O$23))&gt;0,"Answer Required","N/A")</f>
        <v>N/A</v>
      </c>
      <c r="E16" s="332"/>
      <c r="F16" s="332"/>
      <c r="G16" s="332"/>
      <c r="H16" s="331"/>
    </row>
    <row r="17" spans="1:8" ht="51">
      <c r="A17" s="339" t="s">
        <v>605</v>
      </c>
      <c r="B17" s="342" t="s">
        <v>759</v>
      </c>
      <c r="C17" s="343" t="s">
        <v>606</v>
      </c>
      <c r="D17" s="112" t="str">
        <f>IF(('Fund Financial Stmt Template'!$O$28+SUM('Fund Financial Stmt Template'!$O$21:$O$23))&gt;0,"Answer Required","N/A")</f>
        <v>N/A</v>
      </c>
      <c r="E17" s="332" t="s">
        <v>823</v>
      </c>
      <c r="F17" s="332"/>
      <c r="G17" s="332"/>
      <c r="H17" s="331"/>
    </row>
    <row r="18" spans="1:8" ht="51">
      <c r="A18" s="339" t="s">
        <v>607</v>
      </c>
      <c r="B18" s="342" t="s">
        <v>1</v>
      </c>
      <c r="C18" s="343" t="s">
        <v>606</v>
      </c>
      <c r="D18" s="112" t="str">
        <f>IF(('Fund Financial Stmt Template'!$O$28+SUM('Fund Financial Stmt Template'!$O$21:$O$23))&gt;0,"Answer Required","N/A")</f>
        <v>N/A</v>
      </c>
      <c r="E18" s="332" t="s">
        <v>823</v>
      </c>
      <c r="F18" s="332"/>
      <c r="G18" s="332"/>
      <c r="H18" s="331"/>
    </row>
    <row r="19" spans="1:8" ht="38.25">
      <c r="A19" s="339" t="s">
        <v>2</v>
      </c>
      <c r="B19" s="342" t="s">
        <v>2565</v>
      </c>
      <c r="C19" s="343" t="s">
        <v>51</v>
      </c>
      <c r="D19" s="112" t="str">
        <f>IF(('Fund Financial Stmt Template'!$O$28+SUM('Fund Financial Stmt Template'!$O$21:$O$23))&gt;0,"Answer Required","N/A")</f>
        <v>N/A</v>
      </c>
      <c r="E19" s="332" t="s">
        <v>824</v>
      </c>
      <c r="F19" s="332"/>
      <c r="G19" s="332"/>
      <c r="H19" s="331"/>
    </row>
    <row r="20" spans="1:8" ht="54" customHeight="1">
      <c r="A20" s="339" t="s">
        <v>3</v>
      </c>
      <c r="B20" s="342" t="s">
        <v>2566</v>
      </c>
      <c r="C20" s="343" t="s">
        <v>51</v>
      </c>
      <c r="D20" s="112" t="str">
        <f>IF(('Fund Financial Stmt Template'!$O$28+SUM('Fund Financial Stmt Template'!$O$21:$O$23))&gt;0,"Answer Required","N/A")</f>
        <v>N/A</v>
      </c>
      <c r="E20" s="332" t="s">
        <v>824</v>
      </c>
      <c r="F20" s="332"/>
      <c r="G20" s="332"/>
      <c r="H20" s="331"/>
    </row>
    <row r="21" spans="1:8" ht="38.25">
      <c r="A21" s="339" t="s">
        <v>4</v>
      </c>
      <c r="B21" s="340" t="s">
        <v>2567</v>
      </c>
      <c r="C21" s="341" t="s">
        <v>318</v>
      </c>
      <c r="D21" s="112" t="str">
        <f>IF(('Fund Financial Stmt Template'!$O$28+SUM('Fund Financial Stmt Template'!$O$21:$O$23))&gt;0,"Answer Required","N/A")</f>
        <v>N/A</v>
      </c>
      <c r="E21" s="332" t="s">
        <v>824</v>
      </c>
      <c r="F21" s="332"/>
      <c r="G21" s="332"/>
      <c r="H21" s="331"/>
    </row>
    <row r="22" spans="1:8" ht="25.5">
      <c r="A22" s="339" t="s">
        <v>5</v>
      </c>
      <c r="B22" s="340" t="s">
        <v>848</v>
      </c>
      <c r="C22" s="341" t="s">
        <v>849</v>
      </c>
      <c r="D22" s="112" t="str">
        <f>IF(('Fund Financial Stmt Template'!$O$28+SUM('Fund Financial Stmt Template'!$O$21:$O$23))&gt;0,"Answer Required","N/A")</f>
        <v>N/A</v>
      </c>
      <c r="E22" s="332" t="s">
        <v>806</v>
      </c>
      <c r="F22" s="332"/>
      <c r="G22" s="332"/>
      <c r="H22" s="331"/>
    </row>
    <row r="23" spans="1:8" ht="24.75" customHeight="1">
      <c r="A23" s="339" t="s">
        <v>805</v>
      </c>
      <c r="B23" s="340" t="s">
        <v>852</v>
      </c>
      <c r="C23" s="341" t="s">
        <v>853</v>
      </c>
      <c r="D23" s="112" t="str">
        <f>IF(('Fund Financial Stmt Template'!$O$28+SUM('Fund Financial Stmt Template'!$O$21:$O$23))&gt;0,"Answer Required","N/A")</f>
        <v>N/A</v>
      </c>
      <c r="E23" s="332" t="s">
        <v>806</v>
      </c>
      <c r="F23" s="332"/>
      <c r="G23" s="332"/>
      <c r="H23" s="331"/>
    </row>
    <row r="24" spans="1:8" ht="44.25" customHeight="1">
      <c r="A24" s="339" t="s">
        <v>850</v>
      </c>
      <c r="B24" s="340" t="s">
        <v>856</v>
      </c>
      <c r="C24" s="341" t="s">
        <v>857</v>
      </c>
      <c r="D24" s="112" t="str">
        <f>IF(('Fund Financial Stmt Template'!$O$28+SUM('Fund Financial Stmt Template'!$O$21:$O$23))&gt;0,"Answer Required","N/A")</f>
        <v>N/A</v>
      </c>
      <c r="E24" s="332" t="s">
        <v>855</v>
      </c>
      <c r="F24" s="332"/>
      <c r="G24" s="332"/>
      <c r="H24" s="331"/>
    </row>
    <row r="25" spans="1:8" ht="27" customHeight="1">
      <c r="A25" s="339" t="s">
        <v>851</v>
      </c>
      <c r="B25" s="342" t="s">
        <v>6</v>
      </c>
      <c r="C25" s="343" t="s">
        <v>7</v>
      </c>
      <c r="D25" s="112" t="str">
        <f>IF(('Fund Financial Stmt Template'!$O$28+SUM('Fund Financial Stmt Template'!$O$21:$O$23))&gt;0,"Answer Required","N/A")</f>
        <v>N/A</v>
      </c>
      <c r="E25" s="332" t="s">
        <v>854</v>
      </c>
      <c r="F25" s="332"/>
      <c r="G25" s="332"/>
      <c r="H25" s="331"/>
    </row>
    <row r="26" spans="1:8">
      <c r="A26" s="332"/>
      <c r="B26" s="332"/>
      <c r="C26" s="332"/>
      <c r="D26" s="332"/>
      <c r="E26" s="332"/>
      <c r="F26" s="332"/>
      <c r="G26" s="332"/>
      <c r="H26" s="331"/>
    </row>
    <row r="27" spans="1:8">
      <c r="A27" s="332" t="s">
        <v>615</v>
      </c>
      <c r="C27" s="332"/>
      <c r="D27" s="332"/>
      <c r="E27" s="332"/>
      <c r="F27" s="332"/>
      <c r="G27" s="332"/>
      <c r="H27" s="331"/>
    </row>
    <row r="28" spans="1:8">
      <c r="A28" s="332"/>
      <c r="C28" s="332"/>
      <c r="D28" s="332"/>
      <c r="E28" s="332"/>
      <c r="F28" s="332"/>
      <c r="G28" s="332"/>
      <c r="H28" s="331"/>
    </row>
    <row r="29" spans="1:8">
      <c r="A29" s="344" t="s">
        <v>858</v>
      </c>
      <c r="C29" s="332"/>
      <c r="D29" s="332"/>
      <c r="E29" s="332"/>
      <c r="F29" s="332"/>
      <c r="G29" s="332"/>
      <c r="H29" s="331"/>
    </row>
    <row r="30" spans="1:8">
      <c r="A30" s="332" t="s">
        <v>859</v>
      </c>
      <c r="C30" s="332"/>
      <c r="D30" s="332"/>
      <c r="E30" s="332"/>
      <c r="F30" s="332"/>
      <c r="G30" s="332"/>
      <c r="H30" s="331"/>
    </row>
    <row r="31" spans="1:8">
      <c r="A31" s="332" t="s">
        <v>2579</v>
      </c>
      <c r="C31" s="332"/>
      <c r="D31" s="332"/>
      <c r="E31" s="332"/>
      <c r="F31" s="332"/>
      <c r="G31" s="332"/>
      <c r="H31" s="331"/>
    </row>
    <row r="32" spans="1:8">
      <c r="A32" s="344"/>
      <c r="C32" s="332"/>
      <c r="D32" s="332"/>
      <c r="E32" s="332"/>
      <c r="F32" s="332"/>
      <c r="G32" s="332"/>
      <c r="H32" s="331"/>
    </row>
    <row r="33" spans="1:8">
      <c r="A33" s="344" t="s">
        <v>2717</v>
      </c>
      <c r="C33" s="332"/>
      <c r="D33" s="332"/>
      <c r="E33" s="332"/>
      <c r="F33" s="332"/>
      <c r="G33" s="332"/>
      <c r="H33" s="331"/>
    </row>
    <row r="34" spans="1:8">
      <c r="A34" s="332" t="s">
        <v>451</v>
      </c>
      <c r="C34" s="332"/>
      <c r="D34" s="332"/>
      <c r="E34" s="332"/>
      <c r="F34" s="332"/>
      <c r="G34" s="332"/>
      <c r="H34" s="331"/>
    </row>
    <row r="35" spans="1:8">
      <c r="A35" s="332" t="s">
        <v>8</v>
      </c>
      <c r="C35" s="332"/>
      <c r="D35" s="332"/>
      <c r="E35" s="332"/>
      <c r="F35" s="332"/>
      <c r="G35" s="332"/>
      <c r="H35" s="331"/>
    </row>
    <row r="36" spans="1:8">
      <c r="A36" s="332"/>
      <c r="C36" s="332"/>
      <c r="D36" s="332"/>
      <c r="E36" s="332"/>
      <c r="F36" s="332"/>
      <c r="G36" s="332"/>
      <c r="H36" s="331"/>
    </row>
    <row r="37" spans="1:8" ht="12.75" customHeight="1">
      <c r="A37" s="332" t="s">
        <v>2711</v>
      </c>
      <c r="B37" s="332"/>
      <c r="C37" s="332"/>
      <c r="D37" s="332"/>
      <c r="E37" s="332"/>
      <c r="F37" s="332"/>
      <c r="G37" s="332"/>
      <c r="H37" s="331"/>
    </row>
    <row r="38" spans="1:8">
      <c r="A38" s="332" t="s">
        <v>2712</v>
      </c>
      <c r="B38" s="332"/>
      <c r="C38" s="332"/>
      <c r="D38" s="332"/>
      <c r="E38" s="332"/>
      <c r="F38" s="332"/>
      <c r="G38" s="332"/>
      <c r="H38" s="331"/>
    </row>
    <row r="39" spans="1:8">
      <c r="A39" s="345" t="s">
        <v>2713</v>
      </c>
      <c r="B39" s="332"/>
      <c r="C39" s="332"/>
      <c r="D39" s="332"/>
      <c r="E39" s="332"/>
      <c r="F39" s="332"/>
      <c r="G39" s="332"/>
      <c r="H39" s="331"/>
    </row>
    <row r="40" spans="1:8" ht="12.75" customHeight="1">
      <c r="A40" s="191" t="s">
        <v>2714</v>
      </c>
      <c r="B40" s="346"/>
      <c r="C40" s="346"/>
      <c r="D40" s="346"/>
      <c r="E40" s="346"/>
      <c r="F40" s="346"/>
      <c r="G40" s="346"/>
      <c r="H40" s="331"/>
    </row>
    <row r="41" spans="1:8" ht="12.75" customHeight="1">
      <c r="A41" s="191" t="s">
        <v>2715</v>
      </c>
      <c r="B41" s="346"/>
      <c r="C41" s="346"/>
      <c r="D41" s="346"/>
      <c r="E41" s="346"/>
      <c r="F41" s="346"/>
      <c r="G41" s="346"/>
      <c r="H41" s="331"/>
    </row>
    <row r="42" spans="1:8" ht="12.75" customHeight="1">
      <c r="A42" s="191" t="s">
        <v>2716</v>
      </c>
      <c r="B42" s="346"/>
      <c r="C42" s="346"/>
      <c r="D42" s="346"/>
      <c r="E42" s="346"/>
      <c r="F42" s="346"/>
      <c r="G42" s="346"/>
      <c r="H42" s="331"/>
    </row>
    <row r="43" spans="1:8" ht="21" customHeight="1">
      <c r="A43" s="332" t="s">
        <v>2718</v>
      </c>
      <c r="B43" s="346"/>
      <c r="C43" s="346"/>
      <c r="D43" s="346"/>
      <c r="E43" s="346"/>
      <c r="F43" s="346"/>
      <c r="G43" s="346"/>
      <c r="H43" s="331"/>
    </row>
    <row r="44" spans="1:8" ht="12.75" customHeight="1">
      <c r="A44" s="346"/>
      <c r="B44" s="346"/>
      <c r="C44" s="346"/>
      <c r="D44" s="346"/>
      <c r="E44" s="346"/>
      <c r="F44" s="346"/>
      <c r="G44" s="346"/>
      <c r="H44" s="331"/>
    </row>
    <row r="45" spans="1:8">
      <c r="A45" s="332" t="s">
        <v>2575</v>
      </c>
      <c r="B45" s="332"/>
      <c r="C45" s="332"/>
      <c r="D45" s="332"/>
      <c r="E45" s="332"/>
      <c r="F45" s="332"/>
      <c r="G45" s="332"/>
      <c r="H45" s="331"/>
    </row>
    <row r="46" spans="1:8">
      <c r="A46" s="332" t="s">
        <v>860</v>
      </c>
      <c r="B46" s="332"/>
      <c r="C46" s="332"/>
      <c r="D46" s="332"/>
      <c r="E46" s="332"/>
      <c r="F46" s="332"/>
      <c r="G46" s="332"/>
      <c r="H46" s="331"/>
    </row>
    <row r="47" spans="1:8">
      <c r="A47" s="332" t="s">
        <v>2832</v>
      </c>
      <c r="B47" s="332"/>
      <c r="C47" s="332"/>
      <c r="D47" s="332"/>
      <c r="E47" s="332"/>
      <c r="F47" s="332"/>
      <c r="G47" s="332"/>
      <c r="H47" s="331"/>
    </row>
    <row r="48" spans="1:8">
      <c r="A48" s="332"/>
      <c r="B48" s="332"/>
      <c r="C48" s="332"/>
      <c r="D48" s="332"/>
      <c r="E48" s="332"/>
      <c r="F48" s="332"/>
      <c r="G48" s="332"/>
      <c r="H48" s="331"/>
    </row>
    <row r="49" spans="1:8">
      <c r="A49" s="332" t="s">
        <v>2723</v>
      </c>
      <c r="B49" s="332"/>
      <c r="C49" s="332"/>
      <c r="D49" s="332"/>
      <c r="E49" s="332"/>
      <c r="F49" s="332"/>
      <c r="G49" s="332"/>
      <c r="H49" s="331"/>
    </row>
    <row r="50" spans="1:8" hidden="1">
      <c r="A50" s="332"/>
      <c r="B50" s="332"/>
      <c r="C50" s="332"/>
      <c r="D50" s="332"/>
      <c r="E50" s="332"/>
      <c r="F50" s="332"/>
      <c r="G50" s="332"/>
      <c r="H50" s="331"/>
    </row>
    <row r="51" spans="1:8">
      <c r="A51" s="332"/>
      <c r="B51" s="332"/>
      <c r="C51" s="332"/>
      <c r="D51" s="332"/>
      <c r="E51" s="332"/>
      <c r="F51" s="332"/>
      <c r="G51" s="349" t="s">
        <v>2554</v>
      </c>
      <c r="H51" s="331"/>
    </row>
    <row r="52" spans="1:8" ht="27" customHeight="1">
      <c r="A52" s="347" t="s">
        <v>821</v>
      </c>
      <c r="B52" s="332"/>
      <c r="C52" s="332"/>
      <c r="D52" s="332"/>
      <c r="E52" s="332"/>
      <c r="F52" s="332"/>
      <c r="G52" s="86" t="str">
        <f>IF($D$17="no","Answer Required",IF($D$18="no","Answer Required",IF($D$19="no","Answer Required",IF($D$20="no","Answer Required",IF($D$21="no","Answer Required","N/A")))))</f>
        <v>N/A</v>
      </c>
      <c r="H52" s="331"/>
    </row>
    <row r="53" spans="1:8" ht="15">
      <c r="A53" s="347" t="s">
        <v>822</v>
      </c>
      <c r="B53" s="332"/>
      <c r="C53" s="332"/>
      <c r="D53" s="332"/>
      <c r="E53" s="332"/>
      <c r="F53" s="332"/>
      <c r="G53" s="332"/>
      <c r="H53" s="331"/>
    </row>
    <row r="54" spans="1:8">
      <c r="A54" s="332"/>
      <c r="B54" s="332"/>
      <c r="C54" s="332"/>
      <c r="D54" s="332"/>
      <c r="E54" s="332"/>
      <c r="F54" s="332"/>
      <c r="G54" s="332"/>
      <c r="H54" s="331"/>
    </row>
    <row r="55" spans="1:8" ht="54.75" customHeight="1">
      <c r="A55" s="1022" t="str">
        <f>IF(G52="No","Answer Required","N/A")</f>
        <v>N/A</v>
      </c>
      <c r="B55" s="1023"/>
      <c r="C55" s="1023"/>
      <c r="D55" s="1023"/>
      <c r="E55" s="1024"/>
      <c r="F55" s="1025"/>
      <c r="G55" s="332"/>
      <c r="H55" s="331"/>
    </row>
    <row r="56" spans="1:8" ht="12.75" hidden="1" customHeight="1">
      <c r="A56" s="60"/>
      <c r="B56" s="60"/>
      <c r="C56" s="60"/>
      <c r="D56" s="60"/>
      <c r="E56" s="60"/>
      <c r="F56" s="60"/>
      <c r="G56" s="60"/>
      <c r="H56" s="331"/>
    </row>
    <row r="57" spans="1:8" ht="12.75" hidden="1" customHeight="1">
      <c r="A57" s="60"/>
      <c r="B57" s="60"/>
      <c r="C57" s="60"/>
      <c r="D57" s="60"/>
      <c r="E57" s="60"/>
      <c r="F57" s="60"/>
      <c r="G57" s="60"/>
      <c r="H57" s="331"/>
    </row>
    <row r="58" spans="1:8" ht="12.75" hidden="1" customHeight="1">
      <c r="A58" s="60"/>
      <c r="B58" s="60"/>
      <c r="C58" s="60"/>
      <c r="D58" s="60"/>
      <c r="E58" s="60"/>
      <c r="F58" s="60"/>
      <c r="G58" s="60"/>
      <c r="H58" s="331"/>
    </row>
    <row r="59" spans="1:8" ht="12.75" hidden="1" customHeight="1">
      <c r="A59" s="60"/>
      <c r="B59" s="60"/>
      <c r="C59" s="60"/>
      <c r="D59" s="60"/>
      <c r="E59" s="60"/>
      <c r="F59" s="60"/>
      <c r="G59" s="60"/>
      <c r="H59" s="331"/>
    </row>
    <row r="60" spans="1:8" hidden="1">
      <c r="A60" s="60"/>
      <c r="B60" s="60"/>
      <c r="C60" s="60"/>
      <c r="D60" s="60" t="s">
        <v>507</v>
      </c>
      <c r="E60" s="60"/>
      <c r="F60" s="60"/>
      <c r="G60" s="60" t="s">
        <v>507</v>
      </c>
      <c r="H60" s="331"/>
    </row>
    <row r="61" spans="1:8" hidden="1">
      <c r="A61" s="60"/>
      <c r="B61" s="60"/>
      <c r="C61" s="60"/>
      <c r="D61" s="60" t="s">
        <v>417</v>
      </c>
      <c r="E61" s="60"/>
      <c r="F61" s="60"/>
      <c r="G61" s="60" t="s">
        <v>417</v>
      </c>
      <c r="H61" s="331"/>
    </row>
    <row r="62" spans="1:8" hidden="1">
      <c r="A62" s="60"/>
      <c r="B62" s="60"/>
      <c r="C62" s="60"/>
      <c r="D62" s="60" t="s">
        <v>47</v>
      </c>
      <c r="E62" s="60"/>
      <c r="F62" s="60"/>
      <c r="G62" s="60"/>
      <c r="H62" s="331"/>
    </row>
    <row r="84" spans="2:6">
      <c r="B84" s="348"/>
      <c r="C84" s="348"/>
      <c r="D84" s="348"/>
      <c r="E84" s="348"/>
      <c r="F84" s="348"/>
    </row>
    <row r="85" spans="2:6">
      <c r="B85" s="348"/>
      <c r="C85" s="348"/>
      <c r="D85" s="348"/>
      <c r="E85" s="348"/>
      <c r="F85" s="348"/>
    </row>
    <row r="86" spans="2:6">
      <c r="B86" s="348"/>
      <c r="C86" s="348"/>
      <c r="D86" s="348"/>
      <c r="E86" s="348"/>
      <c r="F86" s="348"/>
    </row>
    <row r="87" spans="2:6">
      <c r="B87" s="348"/>
      <c r="C87" s="348"/>
      <c r="D87" s="348"/>
      <c r="E87" s="348"/>
      <c r="F87" s="348"/>
    </row>
    <row r="88" spans="2:6">
      <c r="B88" s="348"/>
      <c r="C88" s="348"/>
      <c r="D88" s="348"/>
      <c r="E88" s="348"/>
      <c r="F88" s="348"/>
    </row>
    <row r="89" spans="2:6" hidden="1">
      <c r="B89" s="348"/>
      <c r="C89" s="348"/>
      <c r="D89" s="348"/>
      <c r="E89" s="348"/>
      <c r="F89" s="348"/>
    </row>
    <row r="90" spans="2:6" hidden="1">
      <c r="B90" s="348"/>
      <c r="C90" s="348" t="s">
        <v>507</v>
      </c>
      <c r="D90" s="348"/>
      <c r="E90" s="348" t="s">
        <v>507</v>
      </c>
      <c r="F90" s="348"/>
    </row>
    <row r="91" spans="2:6" hidden="1">
      <c r="B91" s="348"/>
      <c r="C91" s="348" t="s">
        <v>417</v>
      </c>
      <c r="D91" s="348"/>
      <c r="E91" s="348" t="s">
        <v>417</v>
      </c>
      <c r="F91" s="348"/>
    </row>
    <row r="92" spans="2:6" hidden="1">
      <c r="B92" s="348"/>
      <c r="C92" s="348" t="s">
        <v>47</v>
      </c>
      <c r="D92" s="348"/>
      <c r="E92" s="348"/>
      <c r="F92" s="348"/>
    </row>
    <row r="93" spans="2:6" hidden="1"/>
  </sheetData>
  <sheetProtection algorithmName="SHA-512" hashValue="leys9wl94tPyCgoG4x/rDpdKmgEN64PgzFX4qM6chDr9F4gNRz0w40OOJFfbL70quZGwiaJ3VpN70yIOP81RBw==" saltValue="oTW1YrtgIOxO1Ks7yeN/PA==" spinCount="100000" sheet="1" objects="1" scenarios="1"/>
  <customSheetViews>
    <customSheetView guid="{354F272F-821B-473B-9CC5-4001AD879606}" fitToPage="1" hiddenRows="1" topLeftCell="A19">
      <selection activeCell="D24" sqref="D24:D25"/>
      <rowBreaks count="1" manualBreakCount="1">
        <brk id="62" max="7" man="1"/>
      </rowBreaks>
      <pageMargins left="0.75" right="0.75" top="1.25" bottom="1" header="0.5" footer="0.5"/>
      <pageSetup scale="59" orientation="portrait" cellComments="asDisplayed" r:id="rId1"/>
      <headerFooter alignWithMargins="0">
        <oddHeader>&amp;C&amp;"Times New Roman,Bold"&amp;9Attachment 9
Governmental Fund Financial Statement Template
&amp;A</oddHeader>
        <oddFooter>&amp;L&amp;"Times New Roman,Regular"&amp;F \ &amp;A&amp;R&amp;"Times New Roman,Regular"Page &amp;P</oddFooter>
      </headerFooter>
    </customSheetView>
  </customSheetViews>
  <mergeCells count="9">
    <mergeCell ref="A55:F55"/>
    <mergeCell ref="B5:E5"/>
    <mergeCell ref="B6:E6"/>
    <mergeCell ref="B1:E1"/>
    <mergeCell ref="B2:E2"/>
    <mergeCell ref="B3:E3"/>
    <mergeCell ref="B4:E4"/>
    <mergeCell ref="A8:B8"/>
    <mergeCell ref="C8:E8"/>
  </mergeCells>
  <phoneticPr fontId="40" type="noConversion"/>
  <conditionalFormatting sqref="A55:F55">
    <cfRule type="containsText" dxfId="98" priority="1" operator="containsText" text="Answer Required">
      <formula>NOT(ISERROR(SEARCH("Answer Required",A55)))</formula>
    </cfRule>
  </conditionalFormatting>
  <conditionalFormatting sqref="D16:D25">
    <cfRule type="cellIs" dxfId="97" priority="2" operator="equal">
      <formula>"Answer Required"</formula>
    </cfRule>
  </conditionalFormatting>
  <conditionalFormatting sqref="G52">
    <cfRule type="cellIs" dxfId="96" priority="4" operator="equal">
      <formula>"Answer Required"</formula>
    </cfRule>
  </conditionalFormatting>
  <dataValidations count="2">
    <dataValidation type="list" allowBlank="1" showInputMessage="1" showErrorMessage="1" error="Please use the drop-down list to select Yes, No or N/A." sqref="D16:D25" xr:uid="{00000000-0002-0000-0A00-000000000000}">
      <formula1>$C$90:$C$92</formula1>
    </dataValidation>
    <dataValidation type="list" allowBlank="1" showInputMessage="1" showErrorMessage="1" error="Please use the drop-down list to select Yes, No, or N/A." sqref="G52" xr:uid="{00000000-0002-0000-0A00-000001000000}">
      <formula1>$D$60:$D$62</formula1>
    </dataValidation>
  </dataValidations>
  <pageMargins left="0.75" right="0.75" top="1.25" bottom="1" header="0.5" footer="0.5"/>
  <pageSetup scale="61" orientation="portrait" cellComments="asDisplayed" r:id="rId2"/>
  <headerFooter alignWithMargins="0">
    <oddHeader>&amp;C&amp;"Times New Roman,Bold"&amp;9Attachment 9
Governmental Fund Financial Statement Template
&amp;A</oddHeader>
    <oddFooter>&amp;L&amp;"Times New Roman,Regular"&amp;F \ &amp;A&amp;R&amp;"Times New Roman,Regular"Page &amp;P</oddFooter>
  </headerFooter>
  <rowBreaks count="1" manualBreakCount="1">
    <brk id="62" max="7" man="1"/>
  </rowBreak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0"/>
  <sheetViews>
    <sheetView zoomScale="110" zoomScaleNormal="110" workbookViewId="0">
      <selection activeCell="B1" sqref="B1:G1"/>
    </sheetView>
  </sheetViews>
  <sheetFormatPr defaultColWidth="8" defaultRowHeight="12.6" customHeight="1"/>
  <cols>
    <col min="1" max="1" width="35.140625" style="350" customWidth="1"/>
    <col min="2" max="2" width="20.140625" style="353" customWidth="1"/>
    <col min="3" max="3" width="9" style="350" customWidth="1"/>
    <col min="4" max="4" width="18.7109375" style="350" customWidth="1"/>
    <col min="5" max="5" width="2.85546875" style="350" customWidth="1"/>
    <col min="6" max="6" width="4" style="350" customWidth="1"/>
    <col min="7" max="7" width="38.28515625" style="350" customWidth="1"/>
    <col min="8" max="16384" width="8" style="350"/>
  </cols>
  <sheetData>
    <row r="1" spans="1:6" ht="12.6" customHeight="1">
      <c r="A1" s="253" t="s">
        <v>399</v>
      </c>
      <c r="B1" s="1055" t="str">
        <f>IF('Fund Financial Stmt Template'!E1="","",'Fund Financial Stmt Template'!E1)</f>
        <v/>
      </c>
      <c r="C1" s="1056"/>
      <c r="D1" s="1056"/>
      <c r="E1" s="1056"/>
      <c r="F1" s="1057"/>
    </row>
    <row r="2" spans="1:6" ht="27" customHeight="1">
      <c r="A2" s="429" t="s">
        <v>362</v>
      </c>
      <c r="B2" s="1058" t="str">
        <f>'Fund Financial Stmt Template'!E2</f>
        <v/>
      </c>
      <c r="C2" s="1056"/>
      <c r="D2" s="1056"/>
      <c r="E2" s="1056"/>
      <c r="F2" s="1057"/>
    </row>
    <row r="3" spans="1:6" ht="12.6" customHeight="1">
      <c r="A3" s="429" t="s">
        <v>419</v>
      </c>
      <c r="B3" s="1059" t="str">
        <f>IF('Fund Financial Stmt Template'!E3="","",'Fund Financial Stmt Template'!E3)</f>
        <v/>
      </c>
      <c r="C3" s="1060"/>
      <c r="D3" s="1060"/>
      <c r="E3" s="1060"/>
      <c r="F3" s="1061"/>
    </row>
    <row r="4" spans="1:6" ht="12.6" customHeight="1">
      <c r="A4" s="429" t="s">
        <v>420</v>
      </c>
      <c r="B4" s="1062" t="str">
        <f>IF('Fund Financial Stmt Template'!E4="","",'Fund Financial Stmt Template'!E4)</f>
        <v/>
      </c>
      <c r="C4" s="1063"/>
      <c r="D4" s="1063"/>
      <c r="E4" s="1063"/>
      <c r="F4" s="1064"/>
    </row>
    <row r="5" spans="1:6" ht="12.6" customHeight="1">
      <c r="A5" s="429" t="s">
        <v>421</v>
      </c>
      <c r="B5" s="1048" t="str">
        <f>IF('Fund Financial Stmt Template'!E5="","",'Fund Financial Stmt Template'!E5)</f>
        <v/>
      </c>
      <c r="C5" s="1049"/>
      <c r="D5" s="1049"/>
      <c r="E5" s="1049"/>
      <c r="F5" s="1050"/>
    </row>
    <row r="6" spans="1:6" ht="12.6" customHeight="1">
      <c r="A6" s="429" t="s">
        <v>418</v>
      </c>
      <c r="B6" s="1051" t="str">
        <f>IF('Fund Financial Stmt Template'!E6="","",'Fund Financial Stmt Template'!E6)</f>
        <v/>
      </c>
      <c r="C6" s="1052"/>
      <c r="D6" s="1052"/>
      <c r="E6" s="1052"/>
      <c r="F6" s="1053"/>
    </row>
    <row r="7" spans="1:6" ht="12.6" customHeight="1">
      <c r="A7" s="188"/>
      <c r="B7" s="351"/>
      <c r="C7" s="352"/>
      <c r="D7" s="352"/>
      <c r="E7" s="352"/>
      <c r="F7" s="352"/>
    </row>
    <row r="8" spans="1:6" ht="12.6" customHeight="1">
      <c r="A8" s="429" t="s">
        <v>491</v>
      </c>
      <c r="B8" s="1054" t="str">
        <f>IF('Fund Financial Stmt Template'!E8="","",'Fund Financial Stmt Template'!E8)</f>
        <v/>
      </c>
      <c r="C8" s="976"/>
      <c r="D8" s="976"/>
      <c r="E8" s="976"/>
      <c r="F8" s="1044"/>
    </row>
    <row r="9" spans="1:6" ht="12.6" customHeight="1">
      <c r="A9" s="188"/>
      <c r="B9" s="273"/>
      <c r="C9" s="273"/>
      <c r="D9" s="273"/>
      <c r="E9" s="273"/>
      <c r="F9" s="273"/>
    </row>
    <row r="10" spans="1:6" ht="12.6" customHeight="1">
      <c r="A10" s="188" t="s">
        <v>48</v>
      </c>
    </row>
    <row r="11" spans="1:6" ht="12.6" customHeight="1">
      <c r="A11" s="192" t="str">
        <f>'Fund Financial Stmt Template'!A14</f>
        <v>For the Year Ended June 30, 2024</v>
      </c>
    </row>
    <row r="12" spans="1:6" ht="12.6" customHeight="1">
      <c r="A12" s="354"/>
      <c r="B12" s="355"/>
      <c r="C12" s="356"/>
      <c r="D12" s="356"/>
      <c r="E12" s="356"/>
      <c r="F12" s="356"/>
    </row>
    <row r="13" spans="1:6" ht="12.6" customHeight="1">
      <c r="A13" s="192"/>
    </row>
    <row r="14" spans="1:6" s="357" customFormat="1" ht="12.6" customHeight="1">
      <c r="B14" s="358"/>
    </row>
    <row r="15" spans="1:6" s="357" customFormat="1" ht="47.25" customHeight="1">
      <c r="B15" s="359" t="s">
        <v>3441</v>
      </c>
      <c r="D15" s="359" t="s">
        <v>3591</v>
      </c>
    </row>
    <row r="16" spans="1:6" ht="12.6" customHeight="1">
      <c r="A16" s="357" t="s">
        <v>392</v>
      </c>
      <c r="B16" s="360"/>
    </row>
    <row r="17" spans="1:7" ht="15" customHeight="1">
      <c r="A17" s="361" t="s">
        <v>90</v>
      </c>
      <c r="B17" s="370"/>
      <c r="C17" s="362"/>
      <c r="D17" s="370"/>
    </row>
    <row r="18" spans="1:7" ht="15" customHeight="1">
      <c r="A18" s="363" t="s">
        <v>760</v>
      </c>
      <c r="B18" s="370"/>
      <c r="C18" s="362"/>
      <c r="D18" s="370"/>
    </row>
    <row r="19" spans="1:7" ht="15" customHeight="1">
      <c r="A19" s="361" t="s">
        <v>307</v>
      </c>
      <c r="B19" s="370"/>
      <c r="C19" s="362"/>
      <c r="D19" s="370"/>
      <c r="G19" s="350" t="s">
        <v>306</v>
      </c>
    </row>
    <row r="20" spans="1:7" ht="11.25">
      <c r="A20" s="361" t="s">
        <v>393</v>
      </c>
      <c r="B20" s="370"/>
      <c r="C20" s="362"/>
      <c r="D20" s="370"/>
      <c r="G20" s="371" t="str">
        <f>IF(B20&lt;&gt;0,"Answer Required","N/A")</f>
        <v>N/A</v>
      </c>
    </row>
    <row r="21" spans="1:7" ht="15" customHeight="1">
      <c r="A21" s="361" t="s">
        <v>391</v>
      </c>
      <c r="B21" s="364">
        <f>SUM(B17:B20)</f>
        <v>0</v>
      </c>
      <c r="C21" s="362"/>
      <c r="D21" s="364">
        <f>SUM(D17:D20)</f>
        <v>0</v>
      </c>
    </row>
    <row r="22" spans="1:7" ht="15" customHeight="1">
      <c r="A22" s="361"/>
      <c r="B22" s="350"/>
      <c r="C22" s="362"/>
      <c r="D22" s="362"/>
    </row>
    <row r="23" spans="1:7" ht="23.25" customHeight="1">
      <c r="A23" s="365" t="s">
        <v>310</v>
      </c>
      <c r="B23" s="370"/>
      <c r="C23" s="362"/>
      <c r="D23" s="370"/>
    </row>
    <row r="24" spans="1:7" ht="15" hidden="1" customHeight="1">
      <c r="A24" s="361" t="s">
        <v>91</v>
      </c>
      <c r="B24" s="541"/>
      <c r="C24" s="362"/>
      <c r="D24" s="541"/>
    </row>
    <row r="25" spans="1:7" ht="15" hidden="1" customHeight="1">
      <c r="A25" s="363" t="s">
        <v>760</v>
      </c>
      <c r="B25" s="541"/>
      <c r="C25" s="362"/>
      <c r="D25" s="541"/>
    </row>
    <row r="26" spans="1:7" ht="15" hidden="1" customHeight="1">
      <c r="A26" s="361" t="s">
        <v>307</v>
      </c>
      <c r="B26" s="541"/>
      <c r="C26" s="362"/>
      <c r="D26" s="541"/>
    </row>
    <row r="27" spans="1:7" ht="15" hidden="1" customHeight="1">
      <c r="A27" s="361" t="s">
        <v>393</v>
      </c>
      <c r="B27" s="541"/>
      <c r="C27" s="362"/>
      <c r="D27" s="541"/>
    </row>
    <row r="28" spans="1:7" ht="15" customHeight="1">
      <c r="A28" s="350" t="s">
        <v>395</v>
      </c>
      <c r="B28" s="364">
        <f>B23</f>
        <v>0</v>
      </c>
      <c r="C28" s="362"/>
      <c r="D28" s="364">
        <f>D23</f>
        <v>0</v>
      </c>
    </row>
    <row r="29" spans="1:7" ht="12.6" customHeight="1" thickBot="1">
      <c r="A29" s="350" t="s">
        <v>396</v>
      </c>
      <c r="B29" s="366">
        <f>IF(SUM(B21,B28)=SUM('Fund Financial Stmt Template'!O36),SUM(B21,B28),"ERROR")</f>
        <v>0</v>
      </c>
      <c r="C29" s="367"/>
      <c r="D29" s="366">
        <f>SUM(D21,D28)</f>
        <v>0</v>
      </c>
    </row>
    <row r="30" spans="1:7" ht="12.6" customHeight="1" thickTop="1">
      <c r="A30" s="368" t="s">
        <v>309</v>
      </c>
      <c r="B30" s="369">
        <f>SUM(B21,B28)-'Fund Financial Stmt Template'!O36</f>
        <v>0</v>
      </c>
    </row>
  </sheetData>
  <sheetProtection algorithmName="SHA-512" hashValue="3NzDMs3yZuE8jEaTppC2qSVpXB0QmcayOYme8/LF1I6nCMMrzgKGNzUaYqc7l4xiXt2sVwLZY/4VoRqH5/3Tqw==" saltValue="TawxkvgTdl8GRZQWocmvMg==" spinCount="100000" sheet="1" objects="1" scenarios="1"/>
  <customSheetViews>
    <customSheetView guid="{354F272F-821B-473B-9CC5-4001AD879606}" hiddenRows="1">
      <selection activeCell="G22" sqref="G22"/>
      <pageMargins left="0.27" right="0.18" top="0.78" bottom="0.46" header="0.28999999999999998" footer="0.17"/>
      <pageSetup scale="80" orientation="portrait"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7">
    <mergeCell ref="B5:F5"/>
    <mergeCell ref="B6:F6"/>
    <mergeCell ref="B8:F8"/>
    <mergeCell ref="B1:F1"/>
    <mergeCell ref="B2:F2"/>
    <mergeCell ref="B3:F3"/>
    <mergeCell ref="B4:F4"/>
  </mergeCells>
  <phoneticPr fontId="40" type="noConversion"/>
  <conditionalFormatting sqref="G20">
    <cfRule type="cellIs" dxfId="95" priority="1" operator="equal">
      <formula>"Answer Required"</formula>
    </cfRule>
  </conditionalFormatting>
  <dataValidations xWindow="149" yWindow="258" count="5">
    <dataValidation allowBlank="1" sqref="B21 D21 B28:B29 D28:D29" xr:uid="{00000000-0002-0000-0B00-000000000000}"/>
    <dataValidation type="whole" allowBlank="1" showInputMessage="1" showErrorMessage="1" error="Enter a whole number." sqref="D24:D27 B24:B27 B17:B20 D17:D20" xr:uid="{00000000-0002-0000-0B00-000001000000}">
      <formula1>-9999999999999</formula1>
      <formula2>9999999999999</formula2>
    </dataValidation>
    <dataValidation type="whole" allowBlank="1" showInputMessage="1" showErrorMessage="1" sqref="G38" xr:uid="{00000000-0002-0000-0B00-000002000000}">
      <formula1>-9999999999999</formula1>
      <formula2>0</formula2>
    </dataValidation>
    <dataValidation type="whole" allowBlank="1" showInputMessage="1" showErrorMessage="1" error="Enter a whole negative number." sqref="B23" xr:uid="{00000000-0002-0000-0B00-000003000000}">
      <formula1>-9999999999999</formula1>
      <formula2>0</formula2>
    </dataValidation>
    <dataValidation type="whole" allowBlank="1" showInputMessage="1" showErrorMessage="1" error="Enter a negative whole number." sqref="D23" xr:uid="{D32EA225-D2B5-404A-8994-7B07F42BDD41}">
      <formula1>-9999999999999</formula1>
      <formula2>0</formula2>
    </dataValidation>
  </dataValidations>
  <pageMargins left="0.27" right="0.18" top="0.78" bottom="0.46" header="0.28999999999999998" footer="0.17"/>
  <pageSetup scale="80" orientation="portrait"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ignoredErrors>
    <ignoredError sqref="G20 B3:F6" unlockedFormula="1"/>
  </ignoredError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7"/>
  <sheetViews>
    <sheetView topLeftCell="A26" zoomScaleNormal="100" workbookViewId="0">
      <selection activeCell="D40" sqref="D40"/>
    </sheetView>
  </sheetViews>
  <sheetFormatPr defaultColWidth="9.140625" defaultRowHeight="12.75"/>
  <cols>
    <col min="1" max="1" width="38.7109375" style="191" customWidth="1"/>
    <col min="2" max="2" width="31.140625" style="191" customWidth="1"/>
    <col min="3" max="3" width="28.140625" style="191" customWidth="1"/>
    <col min="4" max="5" width="13" style="191" customWidth="1"/>
    <col min="6" max="6" width="22.85546875" style="191" customWidth="1"/>
    <col min="7" max="7" width="24" style="191" bestFit="1" customWidth="1"/>
    <col min="8" max="8" width="19.42578125" style="191" customWidth="1"/>
    <col min="9" max="9" width="11" style="191" customWidth="1"/>
    <col min="10" max="16384" width="9.140625" style="191"/>
  </cols>
  <sheetData>
    <row r="1" spans="1:10" s="373" customFormat="1" ht="12.75" customHeight="1">
      <c r="A1" s="372" t="s">
        <v>399</v>
      </c>
      <c r="B1" s="1070" t="str">
        <f>IF('Fund Financial Stmt Template'!E1="","",'Fund Financial Stmt Template'!E1)</f>
        <v/>
      </c>
      <c r="C1" s="1070"/>
      <c r="D1" s="1070"/>
      <c r="E1" s="1070"/>
      <c r="F1" s="790"/>
      <c r="G1" s="790"/>
      <c r="H1" s="790"/>
      <c r="I1" s="273"/>
      <c r="J1" s="273"/>
    </row>
    <row r="2" spans="1:10" s="373" customFormat="1" ht="27.75" customHeight="1">
      <c r="A2" s="745" t="s">
        <v>362</v>
      </c>
      <c r="B2" s="1071" t="str">
        <f>'Fund Financial Stmt Template'!E2</f>
        <v/>
      </c>
      <c r="C2" s="1072"/>
      <c r="D2" s="1072"/>
      <c r="E2" s="1073"/>
      <c r="F2" s="790"/>
      <c r="G2" s="790"/>
      <c r="H2" s="790"/>
      <c r="I2" s="374"/>
      <c r="J2" s="273"/>
    </row>
    <row r="3" spans="1:10" s="373" customFormat="1" ht="12.75" customHeight="1">
      <c r="A3" s="745" t="s">
        <v>419</v>
      </c>
      <c r="B3" s="1074" t="str">
        <f>IF('Fund Financial Stmt Template'!E3="","",'Fund Financial Stmt Template'!E3)</f>
        <v/>
      </c>
      <c r="C3" s="1074"/>
      <c r="D3" s="1074"/>
      <c r="E3" s="1074"/>
      <c r="F3" s="790"/>
      <c r="G3" s="790"/>
      <c r="H3" s="790"/>
      <c r="I3" s="374"/>
      <c r="J3" s="273"/>
    </row>
    <row r="4" spans="1:10" s="373" customFormat="1" ht="12.75" customHeight="1">
      <c r="A4" s="745" t="s">
        <v>420</v>
      </c>
      <c r="B4" s="1075" t="str">
        <f>IF('Fund Financial Stmt Template'!E4="","",'Fund Financial Stmt Template'!E4)</f>
        <v/>
      </c>
      <c r="C4" s="1075"/>
      <c r="D4" s="1075"/>
      <c r="E4" s="1075"/>
      <c r="F4" s="790"/>
      <c r="G4" s="790"/>
      <c r="H4" s="790"/>
      <c r="I4" s="273"/>
      <c r="J4" s="273"/>
    </row>
    <row r="5" spans="1:10" s="373" customFormat="1" ht="12.75" customHeight="1">
      <c r="A5" s="745" t="s">
        <v>421</v>
      </c>
      <c r="B5" s="1065" t="str">
        <f>IF('Fund Financial Stmt Template'!E5="","",'Fund Financial Stmt Template'!E5)</f>
        <v/>
      </c>
      <c r="C5" s="1065"/>
      <c r="D5" s="1065"/>
      <c r="E5" s="1065"/>
      <c r="F5" s="790"/>
      <c r="G5" s="790"/>
      <c r="H5" s="790"/>
      <c r="I5" s="273"/>
      <c r="J5" s="273"/>
    </row>
    <row r="6" spans="1:10" s="373" customFormat="1" ht="12.75" customHeight="1">
      <c r="A6" s="745" t="s">
        <v>418</v>
      </c>
      <c r="B6" s="1066" t="str">
        <f>IF('Fund Financial Stmt Template'!E6="","",'Fund Financial Stmt Template'!E6)</f>
        <v/>
      </c>
      <c r="C6" s="1066"/>
      <c r="D6" s="1066"/>
      <c r="E6" s="1066"/>
      <c r="F6" s="791"/>
      <c r="G6" s="791"/>
      <c r="H6" s="791"/>
      <c r="I6" s="273"/>
      <c r="J6" s="273"/>
    </row>
    <row r="7" spans="1:10" s="373" customFormat="1" ht="12.75" customHeight="1">
      <c r="A7" s="190"/>
      <c r="B7" s="375"/>
      <c r="C7" s="273"/>
      <c r="D7" s="273"/>
      <c r="E7" s="273"/>
      <c r="F7" s="273"/>
      <c r="G7" s="273"/>
      <c r="H7" s="273"/>
      <c r="I7" s="273"/>
      <c r="J7" s="273"/>
    </row>
    <row r="8" spans="1:10" s="373" customFormat="1" ht="24.75" customHeight="1">
      <c r="A8" s="745" t="s">
        <v>491</v>
      </c>
      <c r="B8" s="1067" t="str">
        <f>IF('Fund Financial Stmt Template'!E8="","",'Fund Financial Stmt Template'!E8)</f>
        <v/>
      </c>
      <c r="C8" s="1068"/>
      <c r="D8" s="1068"/>
      <c r="E8" s="1069"/>
      <c r="F8" s="790"/>
      <c r="G8" s="790"/>
      <c r="H8" s="790"/>
      <c r="I8" s="374"/>
      <c r="J8" s="273"/>
    </row>
    <row r="9" spans="1:10" s="373" customFormat="1" ht="12.75" customHeight="1">
      <c r="A9" s="374"/>
      <c r="B9" s="375"/>
      <c r="C9" s="273"/>
      <c r="D9" s="273"/>
      <c r="E9" s="273"/>
      <c r="F9" s="273"/>
      <c r="G9" s="273"/>
      <c r="H9" s="273"/>
      <c r="I9" s="273"/>
      <c r="J9" s="273"/>
    </row>
    <row r="10" spans="1:10" s="373" customFormat="1" ht="12.6" customHeight="1">
      <c r="A10" s="190" t="s">
        <v>616</v>
      </c>
      <c r="B10" s="191"/>
      <c r="C10" s="191"/>
      <c r="D10" s="191"/>
      <c r="E10" s="191"/>
      <c r="F10" s="191"/>
      <c r="G10" s="191"/>
      <c r="J10" s="376"/>
    </row>
    <row r="11" spans="1:10" s="378" customFormat="1" ht="12.6" customHeight="1">
      <c r="A11" s="377" t="str">
        <f>'Tab 2-Receivables'!A11</f>
        <v>For the Year Ended June 30, 2024</v>
      </c>
      <c r="B11" s="191"/>
      <c r="C11" s="191"/>
      <c r="D11" s="191"/>
      <c r="E11" s="191"/>
      <c r="F11" s="191"/>
      <c r="G11" s="191"/>
      <c r="I11" s="792"/>
      <c r="J11" s="379"/>
    </row>
    <row r="12" spans="1:10" s="378" customFormat="1" ht="12.6" customHeight="1">
      <c r="A12" s="793"/>
      <c r="B12" s="794"/>
      <c r="C12" s="794"/>
      <c r="D12" s="794"/>
      <c r="E12" s="794"/>
      <c r="F12" s="794"/>
      <c r="G12" s="794"/>
      <c r="I12" s="792"/>
      <c r="J12" s="380"/>
    </row>
    <row r="13" spans="1:10" s="378" customFormat="1" ht="12.6" hidden="1" customHeight="1">
      <c r="A13" s="377"/>
      <c r="B13" s="191"/>
      <c r="C13" s="191"/>
      <c r="D13" s="191"/>
      <c r="E13" s="191"/>
      <c r="F13" s="191"/>
      <c r="G13" s="191"/>
      <c r="I13" s="792"/>
      <c r="J13" s="379"/>
    </row>
    <row r="14" spans="1:10" s="378" customFormat="1" ht="12.6" hidden="1" customHeight="1">
      <c r="A14" s="377"/>
      <c r="B14" s="191"/>
      <c r="C14" s="191"/>
      <c r="D14" s="191"/>
      <c r="E14" s="191"/>
      <c r="F14" s="191"/>
      <c r="G14" s="191"/>
      <c r="I14" s="792"/>
      <c r="J14" s="379"/>
    </row>
    <row r="15" spans="1:10" s="378" customFormat="1" ht="12.6" hidden="1" customHeight="1">
      <c r="A15" s="795"/>
      <c r="B15" s="191"/>
      <c r="C15" s="191"/>
      <c r="D15" s="191"/>
      <c r="E15" s="191"/>
      <c r="F15" s="191"/>
      <c r="G15" s="191"/>
      <c r="I15" s="792"/>
      <c r="J15" s="379"/>
    </row>
    <row r="16" spans="1:10" s="378" customFormat="1" ht="12.6" hidden="1" customHeight="1">
      <c r="A16" s="796"/>
      <c r="B16" s="191"/>
      <c r="C16" s="191"/>
      <c r="D16" s="191"/>
      <c r="E16" s="191"/>
      <c r="F16" s="191"/>
      <c r="G16" s="191"/>
      <c r="I16" s="792"/>
      <c r="J16" s="379"/>
    </row>
    <row r="17" spans="1:10" s="378" customFormat="1" ht="12.6" hidden="1" customHeight="1">
      <c r="A17" s="797"/>
      <c r="B17" s="191"/>
      <c r="C17" s="191"/>
      <c r="D17" s="191"/>
      <c r="E17" s="191"/>
      <c r="F17" s="191"/>
      <c r="G17" s="191"/>
      <c r="I17" s="792"/>
      <c r="J17" s="379"/>
    </row>
    <row r="18" spans="1:10">
      <c r="A18" s="279" t="s">
        <v>72</v>
      </c>
    </row>
    <row r="19" spans="1:10" s="799" customFormat="1" ht="42.75" customHeight="1">
      <c r="A19" s="798" t="s">
        <v>782</v>
      </c>
      <c r="B19" s="798" t="s">
        <v>76</v>
      </c>
      <c r="C19" s="798" t="s">
        <v>783</v>
      </c>
      <c r="D19" s="798" t="s">
        <v>802</v>
      </c>
      <c r="E19" s="798" t="s">
        <v>116</v>
      </c>
      <c r="F19" s="798" t="s">
        <v>117</v>
      </c>
      <c r="G19" s="798" t="s">
        <v>46</v>
      </c>
    </row>
    <row r="20" spans="1:10" s="799" customFormat="1">
      <c r="A20" s="381"/>
      <c r="B20" s="283" t="str">
        <f>IF(A20="","",IFERROR(VLOOKUP(A20,'Fund Vlookup'!B:C,2,FALSE),"Verify fund number and Contact DOA"))</f>
        <v/>
      </c>
      <c r="C20" s="382"/>
      <c r="D20" s="383"/>
      <c r="E20" s="382"/>
      <c r="F20" s="382"/>
      <c r="G20" s="384"/>
    </row>
    <row r="21" spans="1:10" s="799" customFormat="1">
      <c r="A21" s="381"/>
      <c r="B21" s="283" t="str">
        <f>IF(A21="","",IFERROR(VLOOKUP(A21,'Fund Vlookup'!B:C,2,FALSE),"Verify fund number and Contact DOA"))</f>
        <v/>
      </c>
      <c r="C21" s="382"/>
      <c r="D21" s="383"/>
      <c r="E21" s="382"/>
      <c r="F21" s="382"/>
      <c r="G21" s="384"/>
    </row>
    <row r="22" spans="1:10" s="799" customFormat="1">
      <c r="A22" s="381"/>
      <c r="B22" s="283" t="str">
        <f>IF(A22="","",IFERROR(VLOOKUP(A22,'Fund Vlookup'!B:C,2,FALSE),"Verify fund number and Contact DOA"))</f>
        <v/>
      </c>
      <c r="C22" s="382"/>
      <c r="D22" s="383"/>
      <c r="E22" s="382"/>
      <c r="F22" s="382"/>
      <c r="G22" s="384"/>
    </row>
    <row r="23" spans="1:10" s="799" customFormat="1">
      <c r="A23" s="381"/>
      <c r="B23" s="283" t="str">
        <f>IF(A23="","",IFERROR(VLOOKUP(A23,'Fund Vlookup'!B:C,2,FALSE),"Verify fund number and Contact DOA"))</f>
        <v/>
      </c>
      <c r="C23" s="382"/>
      <c r="D23" s="383"/>
      <c r="E23" s="382"/>
      <c r="F23" s="382"/>
      <c r="G23" s="384"/>
    </row>
    <row r="24" spans="1:10" s="799" customFormat="1">
      <c r="A24" s="381"/>
      <c r="B24" s="283" t="str">
        <f>IF(A24="","",IFERROR(VLOOKUP(A24,'Fund Vlookup'!B:C,2,FALSE),"Verify fund number and Contact DOA"))</f>
        <v/>
      </c>
      <c r="C24" s="382"/>
      <c r="D24" s="383"/>
      <c r="E24" s="382"/>
      <c r="F24" s="382"/>
      <c r="G24" s="384"/>
    </row>
    <row r="25" spans="1:10" s="799" customFormat="1">
      <c r="A25" s="381"/>
      <c r="B25" s="283" t="str">
        <f>IF(A25="","",IFERROR(VLOOKUP(A25,'Fund Vlookup'!B:C,2,FALSE),"Verify fund number and Contact DOA"))</f>
        <v/>
      </c>
      <c r="C25" s="382"/>
      <c r="D25" s="383"/>
      <c r="E25" s="382"/>
      <c r="F25" s="382"/>
      <c r="G25" s="384"/>
    </row>
    <row r="26" spans="1:10" s="799" customFormat="1">
      <c r="A26" s="381"/>
      <c r="B26" s="283" t="str">
        <f>IF(A26="","",IFERROR(VLOOKUP(A26,'Fund Vlookup'!B:C,2,FALSE),"Verify fund number and Contact DOA"))</f>
        <v/>
      </c>
      <c r="C26" s="382"/>
      <c r="D26" s="383"/>
      <c r="E26" s="382"/>
      <c r="F26" s="382"/>
      <c r="G26" s="384"/>
    </row>
    <row r="27" spans="1:10" s="799" customFormat="1">
      <c r="A27" s="381"/>
      <c r="B27" s="283" t="str">
        <f>IF(A27="","",IFERROR(VLOOKUP(A27,'Fund Vlookup'!B:C,2,FALSE),"Verify fund number and Contact DOA"))</f>
        <v/>
      </c>
      <c r="C27" s="382"/>
      <c r="D27" s="383"/>
      <c r="E27" s="382"/>
      <c r="F27" s="382"/>
      <c r="G27" s="384"/>
    </row>
    <row r="28" spans="1:10" s="799" customFormat="1">
      <c r="B28" s="800"/>
      <c r="C28" s="801"/>
      <c r="D28" s="801"/>
      <c r="E28" s="801"/>
      <c r="F28" s="801"/>
      <c r="G28" s="800"/>
    </row>
    <row r="29" spans="1:10" s="799" customFormat="1" ht="13.5" thickBot="1">
      <c r="A29" s="802" t="s">
        <v>77</v>
      </c>
      <c r="C29" s="801"/>
      <c r="D29" s="801"/>
      <c r="E29" s="801"/>
      <c r="G29" s="803">
        <f>IF(SUM(G20:G27)='Fund Financial Stmt Template'!O38,SUM(G20:G27),"ERROR")</f>
        <v>0</v>
      </c>
    </row>
    <row r="30" spans="1:10" ht="13.5" thickTop="1">
      <c r="F30" s="324" t="s">
        <v>309</v>
      </c>
      <c r="G30" s="278">
        <f>SUM(G20:G27)-'Fund Financial Stmt Template'!O38</f>
        <v>0</v>
      </c>
    </row>
    <row r="31" spans="1:10">
      <c r="A31" s="279" t="s">
        <v>73</v>
      </c>
    </row>
    <row r="32" spans="1:10" s="799" customFormat="1" ht="42.75" customHeight="1">
      <c r="A32" s="798" t="s">
        <v>784</v>
      </c>
      <c r="B32" s="798" t="s">
        <v>78</v>
      </c>
      <c r="C32" s="798" t="s">
        <v>783</v>
      </c>
      <c r="D32" s="798" t="s">
        <v>802</v>
      </c>
      <c r="E32" s="798" t="s">
        <v>116</v>
      </c>
      <c r="F32" s="798" t="s">
        <v>117</v>
      </c>
      <c r="G32" s="798" t="s">
        <v>46</v>
      </c>
    </row>
    <row r="33" spans="1:8" s="799" customFormat="1">
      <c r="A33" s="381"/>
      <c r="B33" s="283" t="str">
        <f>IF(A33="","",IFERROR(VLOOKUP(A33,'Fund Vlookup'!B:C,2,FALSE),"Verify fund number and Contact DOA"))</f>
        <v/>
      </c>
      <c r="C33" s="382"/>
      <c r="D33" s="383"/>
      <c r="E33" s="382"/>
      <c r="F33" s="382"/>
      <c r="G33" s="384"/>
    </row>
    <row r="34" spans="1:8" s="799" customFormat="1">
      <c r="A34" s="381"/>
      <c r="B34" s="283" t="str">
        <f>IF(A34="","",IFERROR(VLOOKUP(A34,'Fund Vlookup'!B:C,2,FALSE),"Verify fund number and Contact DOA"))</f>
        <v/>
      </c>
      <c r="C34" s="382"/>
      <c r="D34" s="383"/>
      <c r="E34" s="382"/>
      <c r="F34" s="382"/>
      <c r="G34" s="384"/>
    </row>
    <row r="35" spans="1:8" s="799" customFormat="1">
      <c r="A35" s="381"/>
      <c r="B35" s="283" t="str">
        <f>IF(A35="","",IFERROR(VLOOKUP(A35,'Fund Vlookup'!B:C,2,FALSE),"Verify fund number and Contact DOA"))</f>
        <v/>
      </c>
      <c r="C35" s="382"/>
      <c r="D35" s="383"/>
      <c r="E35" s="382"/>
      <c r="F35" s="382"/>
      <c r="G35" s="384"/>
    </row>
    <row r="36" spans="1:8" s="799" customFormat="1">
      <c r="A36" s="381"/>
      <c r="B36" s="283" t="str">
        <f>IF(A36="","",IFERROR(VLOOKUP(A36,'Fund Vlookup'!B:C,2,FALSE),"Verify fund number and Contact DOA"))</f>
        <v/>
      </c>
      <c r="C36" s="382"/>
      <c r="D36" s="383"/>
      <c r="E36" s="382"/>
      <c r="F36" s="382"/>
      <c r="G36" s="384"/>
    </row>
    <row r="37" spans="1:8" s="799" customFormat="1">
      <c r="A37" s="381"/>
      <c r="B37" s="283" t="str">
        <f>IF(A37="","",IFERROR(VLOOKUP(A37,'Fund Vlookup'!B:C,2,FALSE),"Verify fund number and Contact DOA"))</f>
        <v/>
      </c>
      <c r="C37" s="382"/>
      <c r="D37" s="383"/>
      <c r="E37" s="382"/>
      <c r="F37" s="382"/>
      <c r="G37" s="384"/>
    </row>
    <row r="38" spans="1:8" s="799" customFormat="1">
      <c r="A38" s="381"/>
      <c r="B38" s="283" t="str">
        <f>IF(A38="","",IFERROR(VLOOKUP(A38,'Fund Vlookup'!B:C,2,FALSE),"Verify fund number and Contact DOA"))</f>
        <v/>
      </c>
      <c r="C38" s="382"/>
      <c r="D38" s="383"/>
      <c r="E38" s="382"/>
      <c r="F38" s="382"/>
      <c r="G38" s="384"/>
    </row>
    <row r="39" spans="1:8" s="799" customFormat="1">
      <c r="A39" s="381"/>
      <c r="B39" s="283" t="str">
        <f>IF(A39="","",IFERROR(VLOOKUP(A39,'Fund Vlookup'!B:C,2,FALSE),"Verify fund number and Contact DOA"))</f>
        <v/>
      </c>
      <c r="C39" s="382"/>
      <c r="D39" s="383"/>
      <c r="E39" s="382"/>
      <c r="F39" s="382"/>
      <c r="G39" s="384"/>
    </row>
    <row r="40" spans="1:8" s="799" customFormat="1">
      <c r="A40" s="381"/>
      <c r="B40" s="283" t="str">
        <f>IF(A40="","",IFERROR(VLOOKUP(A40,'Fund Vlookup'!B:C,2,FALSE),"Verify fund number and Contact DOA"))</f>
        <v/>
      </c>
      <c r="C40" s="382"/>
      <c r="D40" s="383"/>
      <c r="E40" s="382"/>
      <c r="F40" s="382"/>
      <c r="G40" s="384"/>
    </row>
    <row r="41" spans="1:8" s="799" customFormat="1">
      <c r="B41" s="800"/>
      <c r="C41" s="801"/>
      <c r="D41" s="801"/>
      <c r="E41" s="801"/>
      <c r="F41" s="801"/>
      <c r="G41" s="800"/>
    </row>
    <row r="42" spans="1:8" s="799" customFormat="1" ht="13.5" thickBot="1">
      <c r="A42" s="802" t="s">
        <v>79</v>
      </c>
      <c r="C42" s="801"/>
      <c r="D42" s="801"/>
      <c r="E42" s="801"/>
      <c r="G42" s="803">
        <f>IF(SUM(G33:G40)='Fund Financial Stmt Template'!O72,SUM(G33:G40),"ERROR")</f>
        <v>0</v>
      </c>
    </row>
    <row r="43" spans="1:8" ht="13.5" thickTop="1">
      <c r="F43" s="324" t="s">
        <v>309</v>
      </c>
      <c r="G43" s="278">
        <f>SUM(G33:G40)-'Fund Financial Stmt Template'!O72</f>
        <v>0</v>
      </c>
    </row>
    <row r="44" spans="1:8" ht="24" customHeight="1">
      <c r="A44" s="279" t="s">
        <v>74</v>
      </c>
    </row>
    <row r="45" spans="1:8" s="799" customFormat="1" ht="38.25">
      <c r="A45" s="798" t="s">
        <v>2552</v>
      </c>
      <c r="B45" s="798" t="s">
        <v>785</v>
      </c>
      <c r="C45" s="798" t="s">
        <v>2557</v>
      </c>
      <c r="D45" s="798" t="s">
        <v>783</v>
      </c>
      <c r="E45" s="798" t="s">
        <v>802</v>
      </c>
      <c r="F45" s="798" t="s">
        <v>116</v>
      </c>
      <c r="G45" s="798" t="s">
        <v>117</v>
      </c>
      <c r="H45" s="798" t="s">
        <v>46</v>
      </c>
    </row>
    <row r="46" spans="1:8" s="799" customFormat="1">
      <c r="A46" s="382"/>
      <c r="B46" s="381"/>
      <c r="C46" s="804" t="str">
        <f>IF(B46="","",IFERROR(VLOOKUP(B46,'Fund Vlookup'!B:C,2,FALSE),"Verify fund number and Contact DOA"))</f>
        <v/>
      </c>
      <c r="D46" s="382"/>
      <c r="E46" s="383"/>
      <c r="F46" s="382"/>
      <c r="G46" s="382"/>
      <c r="H46" s="384"/>
    </row>
    <row r="47" spans="1:8" s="799" customFormat="1">
      <c r="A47" s="382"/>
      <c r="B47" s="381"/>
      <c r="C47" s="804" t="str">
        <f>IF(B47="","",IFERROR(VLOOKUP(B47,'Fund Vlookup'!B:C,2,FALSE),"Verify fund number and Contact DOA"))</f>
        <v/>
      </c>
      <c r="D47" s="382"/>
      <c r="E47" s="383"/>
      <c r="F47" s="382"/>
      <c r="G47" s="382"/>
      <c r="H47" s="384"/>
    </row>
    <row r="48" spans="1:8" s="799" customFormat="1">
      <c r="A48" s="382"/>
      <c r="B48" s="381"/>
      <c r="C48" s="804" t="str">
        <f>IF(B48="","",IFERROR(VLOOKUP(B48,'Fund Vlookup'!B:C,2,FALSE),"Verify fund number and Contact DOA"))</f>
        <v/>
      </c>
      <c r="D48" s="382"/>
      <c r="E48" s="383"/>
      <c r="F48" s="382"/>
      <c r="G48" s="382"/>
      <c r="H48" s="384"/>
    </row>
    <row r="49" spans="1:8" s="799" customFormat="1">
      <c r="A49" s="382"/>
      <c r="B49" s="381"/>
      <c r="C49" s="804" t="str">
        <f>IF(B49="","",IFERROR(VLOOKUP(B49,'Fund Vlookup'!B:C,2,FALSE),"Verify fund number and Contact DOA"))</f>
        <v/>
      </c>
      <c r="D49" s="382"/>
      <c r="E49" s="383"/>
      <c r="F49" s="382"/>
      <c r="G49" s="382"/>
      <c r="H49" s="384"/>
    </row>
    <row r="50" spans="1:8" s="799" customFormat="1">
      <c r="A50" s="382"/>
      <c r="B50" s="381"/>
      <c r="C50" s="804" t="str">
        <f>IF(B50="","",IFERROR(VLOOKUP(B50,'Fund Vlookup'!B:C,2,FALSE),"Verify fund number and Contact DOA"))</f>
        <v/>
      </c>
      <c r="D50" s="382"/>
      <c r="E50" s="383"/>
      <c r="F50" s="382"/>
      <c r="G50" s="382"/>
      <c r="H50" s="384"/>
    </row>
    <row r="51" spans="1:8" s="799" customFormat="1">
      <c r="A51" s="382"/>
      <c r="B51" s="381"/>
      <c r="C51" s="804" t="str">
        <f>IF(B51="","",IFERROR(VLOOKUP(B51,'Fund Vlookup'!B:C,2,FALSE),"Verify fund number and Contact DOA"))</f>
        <v/>
      </c>
      <c r="D51" s="382"/>
      <c r="E51" s="383"/>
      <c r="F51" s="382"/>
      <c r="G51" s="382"/>
      <c r="H51" s="384"/>
    </row>
    <row r="52" spans="1:8" s="799" customFormat="1">
      <c r="A52" s="382"/>
      <c r="B52" s="381"/>
      <c r="C52" s="804" t="str">
        <f>IF(B52="","",IFERROR(VLOOKUP(B52,'Fund Vlookup'!B:C,2,FALSE),"Verify fund number and Contact DOA"))</f>
        <v/>
      </c>
      <c r="D52" s="382"/>
      <c r="E52" s="383"/>
      <c r="F52" s="382"/>
      <c r="G52" s="382"/>
      <c r="H52" s="384"/>
    </row>
    <row r="53" spans="1:8" s="799" customFormat="1">
      <c r="A53" s="382"/>
      <c r="B53" s="381"/>
      <c r="C53" s="804" t="str">
        <f>IF(B53="","",IFERROR(VLOOKUP(B53,'Fund Vlookup'!B:C,2,FALSE),"Verify fund number and Contact DOA"))</f>
        <v/>
      </c>
      <c r="D53" s="382"/>
      <c r="E53" s="383"/>
      <c r="F53" s="382"/>
      <c r="G53" s="382"/>
      <c r="H53" s="384"/>
    </row>
    <row r="54" spans="1:8" s="799" customFormat="1">
      <c r="B54" s="800"/>
      <c r="C54" s="800"/>
      <c r="D54" s="801"/>
      <c r="E54" s="801"/>
      <c r="F54" s="801"/>
      <c r="G54" s="801"/>
      <c r="H54" s="800"/>
    </row>
    <row r="55" spans="1:8" s="799" customFormat="1" ht="13.5" thickBot="1">
      <c r="A55" s="802" t="s">
        <v>80</v>
      </c>
      <c r="C55" s="805"/>
      <c r="D55" s="801"/>
      <c r="E55" s="801"/>
      <c r="H55" s="803">
        <f>IF(SUM(H46:H53)='Fund Financial Stmt Template'!O39,SUM(H46:H53),"ERROR")</f>
        <v>0</v>
      </c>
    </row>
    <row r="56" spans="1:8" ht="13.5" thickTop="1">
      <c r="G56" s="324" t="s">
        <v>309</v>
      </c>
      <c r="H56" s="278">
        <f>SUM(H46:H53)-'Fund Financial Stmt Template'!O39</f>
        <v>0</v>
      </c>
    </row>
    <row r="57" spans="1:8">
      <c r="A57" s="279" t="s">
        <v>75</v>
      </c>
    </row>
    <row r="58" spans="1:8" s="799" customFormat="1" ht="38.25">
      <c r="A58" s="798" t="s">
        <v>2553</v>
      </c>
      <c r="B58" s="798" t="s">
        <v>786</v>
      </c>
      <c r="C58" s="798" t="s">
        <v>2558</v>
      </c>
      <c r="D58" s="798" t="s">
        <v>783</v>
      </c>
      <c r="E58" s="798" t="s">
        <v>802</v>
      </c>
      <c r="F58" s="798" t="s">
        <v>116</v>
      </c>
      <c r="G58" s="798" t="s">
        <v>117</v>
      </c>
      <c r="H58" s="798" t="s">
        <v>46</v>
      </c>
    </row>
    <row r="59" spans="1:8" s="799" customFormat="1">
      <c r="A59" s="382"/>
      <c r="B59" s="381"/>
      <c r="C59" s="804" t="str">
        <f>IF(B59="","",IFERROR(VLOOKUP(B59,'Fund Vlookup'!B:C,2,FALSE),"Verify fund number and Contact DOA"))</f>
        <v/>
      </c>
      <c r="D59" s="382"/>
      <c r="E59" s="383"/>
      <c r="F59" s="382"/>
      <c r="G59" s="382"/>
      <c r="H59" s="384"/>
    </row>
    <row r="60" spans="1:8" s="799" customFormat="1">
      <c r="A60" s="382"/>
      <c r="B60" s="381"/>
      <c r="C60" s="804" t="str">
        <f>IF(B60="","",IFERROR(VLOOKUP(B60,'Fund Vlookup'!B:C,2,FALSE),"Verify fund number and Contact DOA"))</f>
        <v/>
      </c>
      <c r="D60" s="382"/>
      <c r="E60" s="383"/>
      <c r="F60" s="382"/>
      <c r="G60" s="382"/>
      <c r="H60" s="384"/>
    </row>
    <row r="61" spans="1:8" s="799" customFormat="1">
      <c r="A61" s="382"/>
      <c r="B61" s="381"/>
      <c r="C61" s="804" t="str">
        <f>IF(B61="","",IFERROR(VLOOKUP(B61,'Fund Vlookup'!B:C,2,FALSE),"Verify fund number and Contact DOA"))</f>
        <v/>
      </c>
      <c r="D61" s="382"/>
      <c r="E61" s="383"/>
      <c r="F61" s="382"/>
      <c r="G61" s="382"/>
      <c r="H61" s="384"/>
    </row>
    <row r="62" spans="1:8" s="799" customFormat="1">
      <c r="A62" s="382"/>
      <c r="B62" s="381"/>
      <c r="C62" s="804" t="str">
        <f>IF(B62="","",IFERROR(VLOOKUP(B62,'Fund Vlookup'!B:C,2,FALSE),"Verify fund number and Contact DOA"))</f>
        <v/>
      </c>
      <c r="D62" s="382"/>
      <c r="E62" s="383"/>
      <c r="F62" s="382"/>
      <c r="G62" s="382"/>
      <c r="H62" s="384"/>
    </row>
    <row r="63" spans="1:8" s="799" customFormat="1">
      <c r="A63" s="382"/>
      <c r="B63" s="381"/>
      <c r="C63" s="804" t="str">
        <f>IF(B63="","",IFERROR(VLOOKUP(B63,'Fund Vlookup'!B:C,2,FALSE),"Verify fund number and Contact DOA"))</f>
        <v/>
      </c>
      <c r="D63" s="382"/>
      <c r="E63" s="383"/>
      <c r="F63" s="382"/>
      <c r="G63" s="382"/>
      <c r="H63" s="384"/>
    </row>
    <row r="64" spans="1:8" s="799" customFormat="1">
      <c r="A64" s="382"/>
      <c r="B64" s="381"/>
      <c r="C64" s="804" t="str">
        <f>IF(B64="","",IFERROR(VLOOKUP(B64,'Fund Vlookup'!B:C,2,FALSE),"Verify fund number and Contact DOA"))</f>
        <v/>
      </c>
      <c r="D64" s="382"/>
      <c r="E64" s="383"/>
      <c r="F64" s="382"/>
      <c r="G64" s="382"/>
      <c r="H64" s="384"/>
    </row>
    <row r="65" spans="1:8" s="799" customFormat="1">
      <c r="A65" s="382"/>
      <c r="B65" s="381"/>
      <c r="C65" s="804" t="str">
        <f>IF(B65="","",IFERROR(VLOOKUP(B65,'Fund Vlookup'!B:C,2,FALSE),"Verify fund number and Contact DOA"))</f>
        <v/>
      </c>
      <c r="D65" s="382"/>
      <c r="E65" s="383"/>
      <c r="F65" s="382"/>
      <c r="G65" s="382"/>
      <c r="H65" s="384"/>
    </row>
    <row r="66" spans="1:8" s="799" customFormat="1">
      <c r="A66" s="382"/>
      <c r="B66" s="381"/>
      <c r="C66" s="804" t="str">
        <f>IF(B66="","",IFERROR(VLOOKUP(B66,'Fund Vlookup'!B:C,2,FALSE),"Verify fund number and Contact DOA"))</f>
        <v/>
      </c>
      <c r="D66" s="382"/>
      <c r="E66" s="383"/>
      <c r="F66" s="382"/>
      <c r="G66" s="382"/>
      <c r="H66" s="384"/>
    </row>
    <row r="67" spans="1:8" s="799" customFormat="1">
      <c r="A67" s="806"/>
      <c r="B67" s="800"/>
      <c r="C67" s="800"/>
      <c r="D67" s="801"/>
      <c r="E67" s="801"/>
      <c r="F67" s="801"/>
      <c r="G67" s="801"/>
      <c r="H67" s="800"/>
    </row>
    <row r="68" spans="1:8" s="799" customFormat="1" ht="13.5" thickBot="1">
      <c r="A68" s="802" t="s">
        <v>81</v>
      </c>
      <c r="C68" s="805"/>
      <c r="D68" s="801"/>
      <c r="E68" s="801"/>
      <c r="F68" s="801"/>
      <c r="H68" s="803">
        <f>IF(SUM(H59:H66)='Fund Financial Stmt Template'!O73,SUM(H59:H66),"ERROR")</f>
        <v>0</v>
      </c>
    </row>
    <row r="69" spans="1:8" ht="13.5" thickTop="1">
      <c r="G69" s="324" t="s">
        <v>309</v>
      </c>
      <c r="H69" s="278">
        <f>SUM(H59:H66)-'Fund Financial Stmt Template'!O73</f>
        <v>0</v>
      </c>
    </row>
    <row r="75" spans="1:8" hidden="1">
      <c r="C75" s="252" t="s">
        <v>507</v>
      </c>
      <c r="D75" s="252"/>
      <c r="E75" s="252" t="s">
        <v>507</v>
      </c>
      <c r="F75" s="252"/>
    </row>
    <row r="76" spans="1:8" hidden="1">
      <c r="C76" s="252" t="s">
        <v>417</v>
      </c>
      <c r="D76" s="252"/>
      <c r="E76" s="252" t="s">
        <v>417</v>
      </c>
      <c r="F76" s="252"/>
    </row>
    <row r="77" spans="1:8" hidden="1">
      <c r="C77" s="252" t="s">
        <v>118</v>
      </c>
      <c r="E77" s="252" t="s">
        <v>118</v>
      </c>
    </row>
  </sheetData>
  <sheetProtection algorithmName="SHA-512" hashValue="qc4XvOTxHhTwghC/sTzFQ7dg4GxFpuIpDAUsRJ0WQSHhJPhu8Oamq6teM2t4MSWNSePrckIdt8I0Cl5v0eR4bg==" saltValue="jkzSlh1lWtmkBgtVrE9uPQ==" spinCount="100000" sheet="1" objects="1" scenarios="1"/>
  <customSheetViews>
    <customSheetView guid="{354F272F-821B-473B-9CC5-4001AD879606}" hiddenRows="1">
      <selection activeCell="B33" sqref="B33"/>
      <rowBreaks count="1" manualBreakCount="1">
        <brk id="43" max="16383" man="1"/>
      </rowBreaks>
      <colBreaks count="1" manualBreakCount="1">
        <brk id="11" max="69" man="1"/>
      </colBreaks>
      <pageMargins left="0.27" right="0.18" top="0.78" bottom="0.46" header="0.28999999999999998" footer="0.17"/>
      <pageSetup scale="62" orientation="landscape"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7">
    <mergeCell ref="B5:E5"/>
    <mergeCell ref="B6:E6"/>
    <mergeCell ref="B8:E8"/>
    <mergeCell ref="B1:E1"/>
    <mergeCell ref="B2:E2"/>
    <mergeCell ref="B3:E3"/>
    <mergeCell ref="B4:E4"/>
  </mergeCells>
  <phoneticPr fontId="40" type="noConversion"/>
  <dataValidations xWindow="168" yWindow="207" count="4">
    <dataValidation type="whole" allowBlank="1" showInputMessage="1" showErrorMessage="1" error="Enter a whole number." sqref="G20:G27 H59:H66 G33:G40 H46:H53" xr:uid="{00000000-0002-0000-0C00-000000000000}">
      <formula1>-9999999999999</formula1>
      <formula2>9999999999999</formula2>
    </dataValidation>
    <dataValidation allowBlank="1" sqref="A59:A66 F20:F27 G46:G53 A46:A53 F33:F40 G59:G66" xr:uid="{00000000-0002-0000-0C00-000001000000}"/>
    <dataValidation type="list" allowBlank="1" showInputMessage="1" showErrorMessage="1" error="Use the drop-down list to enter yes or no." sqref="F46:F53 F59:F66 E33:E40 E20:E27 D46:D53 C20:C27 C33:C40 D59:D66" xr:uid="{00000000-0002-0000-0C00-000002000000}">
      <formula1>$C$75:$C$76</formula1>
    </dataValidation>
    <dataValidation type="whole" allowBlank="1" showInputMessage="1" showErrorMessage="1" error="Enter a fund number between 01000 and 99999." sqref="B46:B53 B59:B66 A20:A27 A33:A40" xr:uid="{00000000-0002-0000-0C00-000003000000}">
      <formula1>1000</formula1>
      <formula2>99999</formula2>
    </dataValidation>
  </dataValidations>
  <pageMargins left="0.27" right="0.18" top="0.78" bottom="0.46" header="0.28999999999999998" footer="0.17"/>
  <pageSetup scale="55" orientation="landscape"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colBreaks count="1" manualBreakCount="1">
    <brk id="11" max="69" man="1"/>
  </colBreak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85"/>
  <sheetViews>
    <sheetView zoomScale="110" zoomScaleNormal="110" zoomScaleSheetLayoutView="100" workbookViewId="0">
      <selection activeCell="E1" sqref="E1:G1"/>
    </sheetView>
  </sheetViews>
  <sheetFormatPr defaultColWidth="9.140625" defaultRowHeight="12.75"/>
  <cols>
    <col min="1" max="1" width="31.85546875" style="191" customWidth="1"/>
    <col min="2" max="2" width="22.5703125" style="271" customWidth="1"/>
    <col min="3" max="3" width="90.85546875" style="386" customWidth="1"/>
    <col min="4" max="4" width="4.140625" style="191" customWidth="1"/>
    <col min="5" max="5" width="5.28515625" style="191" customWidth="1"/>
    <col min="6" max="6" width="9.140625" style="191" customWidth="1"/>
    <col min="7" max="8" width="9.140625" style="191" hidden="1" customWidth="1"/>
    <col min="9" max="9" width="31.5703125" style="191" hidden="1" customWidth="1"/>
    <col min="10" max="13" width="9.140625" style="191" hidden="1" customWidth="1"/>
    <col min="14" max="14" width="41.7109375" style="191" hidden="1" customWidth="1"/>
    <col min="15" max="17" width="9.140625" style="191"/>
    <col min="18" max="18" width="72" style="191" customWidth="1"/>
    <col min="19" max="16384" width="9.140625" style="191"/>
  </cols>
  <sheetData>
    <row r="1" spans="1:13" ht="15">
      <c r="A1" s="372" t="s">
        <v>399</v>
      </c>
      <c r="B1" s="1102" t="str">
        <f>IF('Fund Financial Stmt Template'!E1="","",'Fund Financial Stmt Template'!E1)</f>
        <v/>
      </c>
      <c r="C1" s="1103"/>
      <c r="D1" s="273"/>
      <c r="E1" s="273"/>
      <c r="G1" s="191" t="s">
        <v>406</v>
      </c>
      <c r="H1" s="191" t="s">
        <v>414</v>
      </c>
      <c r="I1" s="385" t="s">
        <v>765</v>
      </c>
      <c r="L1" s="191" t="s">
        <v>397</v>
      </c>
      <c r="M1" s="191" t="s">
        <v>2852</v>
      </c>
    </row>
    <row r="2" spans="1:13" ht="15">
      <c r="A2" s="745" t="s">
        <v>362</v>
      </c>
      <c r="B2" s="1104" t="str">
        <f>'Fund Financial Stmt Template'!E2</f>
        <v/>
      </c>
      <c r="C2" s="1015"/>
      <c r="D2" s="273"/>
      <c r="E2" s="273"/>
      <c r="G2" s="191" t="s">
        <v>407</v>
      </c>
      <c r="H2" s="191" t="s">
        <v>408</v>
      </c>
      <c r="I2" s="385" t="s">
        <v>2721</v>
      </c>
      <c r="L2" s="191" t="s">
        <v>398</v>
      </c>
      <c r="M2" s="191" t="s">
        <v>2853</v>
      </c>
    </row>
    <row r="3" spans="1:13" ht="15">
      <c r="A3" s="65" t="s">
        <v>419</v>
      </c>
      <c r="B3" s="1105" t="str">
        <f>IF('Fund Financial Stmt Template'!E3="","",'Fund Financial Stmt Template'!E3)</f>
        <v/>
      </c>
      <c r="C3" s="1106"/>
      <c r="D3" s="273"/>
      <c r="E3" s="273"/>
      <c r="G3" s="191" t="s">
        <v>408</v>
      </c>
      <c r="H3" s="191" t="s">
        <v>409</v>
      </c>
      <c r="I3" s="385" t="s">
        <v>766</v>
      </c>
      <c r="L3" s="191" t="s">
        <v>47</v>
      </c>
      <c r="M3" s="191" t="s">
        <v>47</v>
      </c>
    </row>
    <row r="4" spans="1:13" ht="15">
      <c r="A4" s="65" t="s">
        <v>420</v>
      </c>
      <c r="B4" s="1105" t="str">
        <f>IF('Fund Financial Stmt Template'!E4="","",'Fund Financial Stmt Template'!E4)</f>
        <v/>
      </c>
      <c r="C4" s="1106"/>
      <c r="D4" s="273"/>
      <c r="E4" s="273"/>
      <c r="G4" s="191" t="s">
        <v>410</v>
      </c>
      <c r="H4" s="191" t="s">
        <v>411</v>
      </c>
      <c r="I4" s="385" t="s">
        <v>767</v>
      </c>
    </row>
    <row r="5" spans="1:13" ht="15">
      <c r="A5" s="65" t="s">
        <v>421</v>
      </c>
      <c r="B5" s="1112" t="str">
        <f>IF('Fund Financial Stmt Template'!E5="","",'Fund Financial Stmt Template'!E5)</f>
        <v/>
      </c>
      <c r="C5" s="1113"/>
      <c r="D5" s="273"/>
      <c r="E5" s="273"/>
      <c r="G5" s="191" t="s">
        <v>47</v>
      </c>
      <c r="H5" s="191" t="s">
        <v>47</v>
      </c>
      <c r="I5" s="385" t="s">
        <v>2895</v>
      </c>
    </row>
    <row r="6" spans="1:13" ht="15">
      <c r="A6" s="65" t="s">
        <v>418</v>
      </c>
      <c r="B6" s="1114" t="str">
        <f>IF('Fund Financial Stmt Template'!E6="","",'Fund Financial Stmt Template'!E6)</f>
        <v/>
      </c>
      <c r="C6" s="1115"/>
      <c r="D6" s="273"/>
      <c r="E6" s="273"/>
      <c r="I6" s="385" t="s">
        <v>768</v>
      </c>
    </row>
    <row r="7" spans="1:13" ht="15">
      <c r="A7" s="190"/>
      <c r="B7" s="375"/>
      <c r="C7" s="273"/>
      <c r="D7" s="273"/>
      <c r="E7" s="273"/>
      <c r="I7" s="385" t="s">
        <v>769</v>
      </c>
    </row>
    <row r="8" spans="1:13" ht="15">
      <c r="A8" s="745" t="s">
        <v>491</v>
      </c>
      <c r="B8" s="1116" t="str">
        <f>IF('Fund Financial Stmt Template'!E8="","",'Fund Financial Stmt Template'!E8)</f>
        <v/>
      </c>
      <c r="C8" s="1117"/>
      <c r="D8" s="273"/>
      <c r="E8" s="273"/>
      <c r="I8" s="385" t="s">
        <v>770</v>
      </c>
    </row>
    <row r="9" spans="1:13" ht="15">
      <c r="A9" s="374"/>
      <c r="B9" s="375"/>
      <c r="C9" s="273"/>
      <c r="D9" s="273"/>
      <c r="E9" s="273"/>
      <c r="I9" s="385" t="s">
        <v>771</v>
      </c>
    </row>
    <row r="10" spans="1:13" ht="15">
      <c r="A10" s="190" t="s">
        <v>105</v>
      </c>
      <c r="B10" s="191"/>
      <c r="C10" s="191"/>
      <c r="E10" s="373"/>
      <c r="I10" s="385" t="s">
        <v>772</v>
      </c>
    </row>
    <row r="11" spans="1:13" ht="15">
      <c r="A11" s="377" t="str">
        <f>'Tab 2-Receivables'!A11</f>
        <v>For the Year Ended June 30, 2024</v>
      </c>
      <c r="B11" s="191"/>
      <c r="C11" s="191"/>
      <c r="E11" s="378"/>
      <c r="I11" s="385" t="s">
        <v>773</v>
      </c>
    </row>
    <row r="12" spans="1:13" ht="7.5" customHeight="1">
      <c r="I12" s="385" t="s">
        <v>774</v>
      </c>
    </row>
    <row r="13" spans="1:13" ht="25.5">
      <c r="A13" s="387"/>
      <c r="B13" s="387"/>
      <c r="C13" s="388" t="s">
        <v>845</v>
      </c>
    </row>
    <row r="14" spans="1:13" ht="65.25" customHeight="1">
      <c r="A14" s="386"/>
      <c r="B14" s="386"/>
      <c r="C14" s="126"/>
    </row>
    <row r="15" spans="1:13">
      <c r="A15" s="191" t="s">
        <v>233</v>
      </c>
    </row>
    <row r="16" spans="1:13" ht="22.5" customHeight="1">
      <c r="A16" s="69" t="s">
        <v>412</v>
      </c>
      <c r="B16" s="1110" t="str">
        <f>IF('Fund Financial Stmt Template'!M40&lt;&gt;0,"Answer Required","N/A")</f>
        <v>N/A</v>
      </c>
      <c r="C16" s="1111"/>
    </row>
    <row r="17" spans="1:3" ht="19.5" customHeight="1">
      <c r="A17" s="69" t="s">
        <v>413</v>
      </c>
      <c r="B17" s="1110" t="str">
        <f>IF('Fund Financial Stmt Template'!M40&lt;&gt;0,"Answer Required","N/A")</f>
        <v>N/A</v>
      </c>
      <c r="C17" s="1111"/>
    </row>
    <row r="18" spans="1:3" ht="40.5" customHeight="1">
      <c r="A18" s="69" t="s">
        <v>299</v>
      </c>
      <c r="B18" s="1110" t="str">
        <f>IF('Fund Financial Stmt Template'!M40&lt;&gt;0,"Answer Required","N/A")</f>
        <v>N/A</v>
      </c>
      <c r="C18" s="1111"/>
    </row>
    <row r="19" spans="1:3" ht="25.5">
      <c r="A19" s="69" t="s">
        <v>394</v>
      </c>
      <c r="B19" s="1110" t="str">
        <f>IF('Fund Financial Stmt Template'!M40&lt;&gt;0,"Answer Required","N/A")</f>
        <v>N/A</v>
      </c>
      <c r="C19" s="1111"/>
    </row>
    <row r="20" spans="1:3" ht="38.25">
      <c r="A20" s="69" t="s">
        <v>340</v>
      </c>
      <c r="B20" s="1110" t="str">
        <f>IF('Fund Financial Stmt Template'!M40&lt;&gt;0,"Answer Required","N/A")</f>
        <v>N/A</v>
      </c>
      <c r="C20" s="1111"/>
    </row>
    <row r="21" spans="1:3" ht="36.75" customHeight="1">
      <c r="A21" s="70" t="s">
        <v>266</v>
      </c>
      <c r="B21" s="1110" t="str">
        <f>IF('Fund Financial Stmt Template'!M40&lt;&gt;0,"Answer Required","N/A")</f>
        <v>N/A</v>
      </c>
      <c r="C21" s="1111"/>
    </row>
    <row r="22" spans="1:3">
      <c r="A22" s="254"/>
      <c r="C22" s="389"/>
    </row>
    <row r="23" spans="1:3" ht="57.75" customHeight="1">
      <c r="A23" s="1118" t="s">
        <v>2845</v>
      </c>
      <c r="B23" s="1119"/>
      <c r="C23" s="1119"/>
    </row>
    <row r="24" spans="1:3">
      <c r="A24" s="279"/>
      <c r="C24" s="389"/>
    </row>
    <row r="25" spans="1:3">
      <c r="A25" s="300" t="s">
        <v>241</v>
      </c>
    </row>
    <row r="26" spans="1:3">
      <c r="A26" s="71" t="s">
        <v>657</v>
      </c>
      <c r="B26" s="647" t="s">
        <v>2568</v>
      </c>
      <c r="C26" s="72" t="s">
        <v>202</v>
      </c>
    </row>
    <row r="27" spans="1:3">
      <c r="B27" s="307"/>
      <c r="C27" s="390" t="s">
        <v>3078</v>
      </c>
    </row>
    <row r="28" spans="1:3">
      <c r="A28" s="262"/>
      <c r="B28" s="391"/>
      <c r="C28" s="122" t="str">
        <f>IF($A$26="YES","Answer Required","N/A")</f>
        <v>N/A</v>
      </c>
    </row>
    <row r="29" spans="1:3" ht="20.25" customHeight="1">
      <c r="A29" s="262"/>
      <c r="B29" s="391"/>
    </row>
    <row r="30" spans="1:3" ht="27" customHeight="1">
      <c r="A30" s="71" t="s">
        <v>657</v>
      </c>
      <c r="B30" s="647" t="s">
        <v>609</v>
      </c>
      <c r="C30" s="75" t="s">
        <v>3442</v>
      </c>
    </row>
    <row r="31" spans="1:3">
      <c r="B31" s="307"/>
      <c r="C31" s="72" t="s">
        <v>3077</v>
      </c>
    </row>
    <row r="32" spans="1:3">
      <c r="B32" s="386"/>
      <c r="C32" s="122" t="str">
        <f>IF($A$30="YES","Answer Required","N/A")</f>
        <v>N/A</v>
      </c>
    </row>
    <row r="33" spans="1:3" ht="9" customHeight="1">
      <c r="A33" s="262"/>
      <c r="B33" s="391"/>
    </row>
    <row r="35" spans="1:3">
      <c r="A35" s="300" t="s">
        <v>242</v>
      </c>
    </row>
    <row r="36" spans="1:3" ht="42.75" customHeight="1">
      <c r="A36" s="71" t="s">
        <v>657</v>
      </c>
      <c r="B36" s="648">
        <v>2</v>
      </c>
      <c r="C36" s="74" t="s">
        <v>243</v>
      </c>
    </row>
    <row r="37" spans="1:3" ht="19.5" customHeight="1">
      <c r="B37" s="391"/>
      <c r="C37" s="72" t="s">
        <v>3076</v>
      </c>
    </row>
    <row r="38" spans="1:3">
      <c r="A38" s="262"/>
      <c r="B38" s="391"/>
      <c r="C38" s="122" t="str">
        <f>IF($A$36="YES","Answer Required","N/A")</f>
        <v>N/A</v>
      </c>
    </row>
    <row r="39" spans="1:3" ht="19.5" customHeight="1"/>
    <row r="40" spans="1:3">
      <c r="A40" s="191" t="s">
        <v>234</v>
      </c>
    </row>
    <row r="41" spans="1:3">
      <c r="A41" s="71" t="s">
        <v>657</v>
      </c>
      <c r="B41" s="648">
        <v>3</v>
      </c>
      <c r="C41" s="72" t="s">
        <v>235</v>
      </c>
    </row>
    <row r="42" spans="1:3" ht="17.25" customHeight="1">
      <c r="C42" s="72" t="s">
        <v>3076</v>
      </c>
    </row>
    <row r="43" spans="1:3">
      <c r="B43" s="391"/>
      <c r="C43" s="122" t="str">
        <f>IF($A$41="YES","Answer Required","N/A")</f>
        <v>N/A</v>
      </c>
    </row>
    <row r="44" spans="1:3" ht="16.5" customHeight="1"/>
    <row r="45" spans="1:3">
      <c r="A45" s="191" t="s">
        <v>236</v>
      </c>
    </row>
    <row r="46" spans="1:3" ht="68.25" customHeight="1">
      <c r="A46" s="1107" t="s">
        <v>3443</v>
      </c>
      <c r="B46" s="1108"/>
      <c r="C46" s="1109"/>
    </row>
    <row r="47" spans="1:3" ht="18" customHeight="1">
      <c r="A47" s="71" t="s">
        <v>657</v>
      </c>
      <c r="B47" s="649">
        <v>4</v>
      </c>
      <c r="C47" s="392" t="s">
        <v>715</v>
      </c>
    </row>
    <row r="48" spans="1:3">
      <c r="C48" s="392" t="s">
        <v>3078</v>
      </c>
    </row>
    <row r="49" spans="1:3">
      <c r="B49" s="391"/>
      <c r="C49" s="122" t="str">
        <f>IF($A$47="YES","Answer Required","N/A")</f>
        <v>N/A</v>
      </c>
    </row>
    <row r="51" spans="1:3">
      <c r="A51" s="300" t="s">
        <v>244</v>
      </c>
    </row>
    <row r="52" spans="1:3" ht="56.25" customHeight="1">
      <c r="A52" s="71" t="s">
        <v>657</v>
      </c>
      <c r="B52" s="650">
        <v>5</v>
      </c>
      <c r="C52" s="392" t="s">
        <v>2892</v>
      </c>
    </row>
    <row r="53" spans="1:3">
      <c r="C53" s="72" t="s">
        <v>245</v>
      </c>
    </row>
    <row r="54" spans="1:3">
      <c r="C54" s="122" t="str">
        <f>IF($A$52="YES","Answer Required","N/A")</f>
        <v>N/A</v>
      </c>
    </row>
    <row r="55" spans="1:3">
      <c r="C55" s="386" t="s">
        <v>781</v>
      </c>
    </row>
    <row r="56" spans="1:3">
      <c r="A56" s="1100" t="s">
        <v>246</v>
      </c>
      <c r="B56" s="1101"/>
      <c r="C56" s="746" t="s">
        <v>238</v>
      </c>
    </row>
    <row r="57" spans="1:3">
      <c r="A57" s="1100" t="s">
        <v>239</v>
      </c>
      <c r="B57" s="1101"/>
      <c r="C57" s="79"/>
    </row>
    <row r="58" spans="1:3">
      <c r="A58" s="1100" t="s">
        <v>334</v>
      </c>
      <c r="B58" s="1101"/>
      <c r="C58" s="79"/>
    </row>
    <row r="59" spans="1:3">
      <c r="C59" s="68"/>
    </row>
    <row r="60" spans="1:3">
      <c r="A60" s="1100" t="s">
        <v>247</v>
      </c>
      <c r="B60" s="1101"/>
      <c r="C60" s="76" t="s">
        <v>238</v>
      </c>
    </row>
    <row r="61" spans="1:3">
      <c r="A61" s="1100" t="s">
        <v>239</v>
      </c>
      <c r="B61" s="1101"/>
      <c r="C61" s="79"/>
    </row>
    <row r="62" spans="1:3">
      <c r="A62" s="1088" t="s">
        <v>240</v>
      </c>
      <c r="B62" s="1089"/>
      <c r="C62" s="77"/>
    </row>
    <row r="63" spans="1:3">
      <c r="A63" s="1090"/>
      <c r="B63" s="1091"/>
      <c r="C63" s="79"/>
    </row>
    <row r="64" spans="1:3">
      <c r="A64" s="1090"/>
      <c r="B64" s="1091"/>
      <c r="C64" s="79"/>
    </row>
    <row r="65" spans="1:5">
      <c r="A65" s="1090"/>
      <c r="B65" s="1091"/>
      <c r="C65" s="79"/>
    </row>
    <row r="66" spans="1:5">
      <c r="A66" s="1090"/>
      <c r="B66" s="1091"/>
      <c r="C66" s="79"/>
    </row>
    <row r="67" spans="1:5">
      <c r="C67" s="68"/>
    </row>
    <row r="68" spans="1:5" ht="43.5" customHeight="1">
      <c r="C68" s="74" t="s">
        <v>249</v>
      </c>
    </row>
    <row r="71" spans="1:5">
      <c r="A71" s="300" t="s">
        <v>250</v>
      </c>
    </row>
    <row r="72" spans="1:5" ht="65.25" customHeight="1">
      <c r="A72" s="71" t="s">
        <v>657</v>
      </c>
      <c r="B72" s="647" t="s">
        <v>817</v>
      </c>
      <c r="C72" s="120" t="s">
        <v>3444</v>
      </c>
      <c r="D72" s="437"/>
      <c r="E72" s="262"/>
    </row>
    <row r="73" spans="1:5" ht="15">
      <c r="A73" s="385"/>
      <c r="B73" s="394"/>
      <c r="C73" s="120" t="s">
        <v>754</v>
      </c>
    </row>
    <row r="74" spans="1:5">
      <c r="A74" s="1092" t="s">
        <v>742</v>
      </c>
      <c r="B74" s="1093"/>
      <c r="C74" s="127" t="str">
        <f>IF($A$72="Yes","Answer Required"," N/A")</f>
        <v xml:space="preserve"> N/A</v>
      </c>
    </row>
    <row r="75" spans="1:5">
      <c r="A75" s="395"/>
      <c r="B75" s="396" t="s">
        <v>743</v>
      </c>
      <c r="C75" s="128"/>
    </row>
    <row r="76" spans="1:5">
      <c r="A76" s="283"/>
      <c r="B76" s="397" t="s">
        <v>744</v>
      </c>
      <c r="C76" s="129"/>
    </row>
    <row r="77" spans="1:5">
      <c r="A77" s="1094" t="s">
        <v>745</v>
      </c>
      <c r="B77" s="1094"/>
      <c r="C77" s="129"/>
    </row>
    <row r="78" spans="1:5" ht="12.75" customHeight="1">
      <c r="A78" s="1094" t="s">
        <v>746</v>
      </c>
      <c r="B78" s="1094"/>
      <c r="C78" s="655" t="str">
        <f>IF($A$72="Yes","Answer Required","N/A")</f>
        <v>N/A</v>
      </c>
    </row>
    <row r="79" spans="1:5">
      <c r="A79" s="232"/>
      <c r="B79" s="398" t="s">
        <v>747</v>
      </c>
      <c r="C79" s="127" t="str">
        <f>IF($A$72="Yes","Answer Required","N/A")</f>
        <v>N/A</v>
      </c>
    </row>
    <row r="80" spans="1:5">
      <c r="A80" s="1095" t="s">
        <v>748</v>
      </c>
      <c r="B80" s="1096"/>
      <c r="C80" s="127" t="str">
        <f>IF($A$72="Yes","Answer Required","N/A")</f>
        <v>N/A</v>
      </c>
    </row>
    <row r="81" spans="1:3" ht="26.25" customHeight="1">
      <c r="A81" s="1097" t="s">
        <v>749</v>
      </c>
      <c r="B81" s="1097"/>
      <c r="C81" s="127" t="str">
        <f>IF($A$72="Yes","Answer Required","N/A")</f>
        <v>N/A</v>
      </c>
    </row>
    <row r="82" spans="1:3" ht="26.25" customHeight="1">
      <c r="A82" s="399"/>
      <c r="B82" s="399"/>
      <c r="C82" s="133"/>
    </row>
    <row r="83" spans="1:3" ht="171.75" customHeight="1">
      <c r="A83" s="71" t="s">
        <v>657</v>
      </c>
      <c r="B83" s="647" t="s">
        <v>2569</v>
      </c>
      <c r="C83" s="113" t="s">
        <v>3075</v>
      </c>
    </row>
    <row r="84" spans="1:3" ht="36.75" customHeight="1">
      <c r="A84" s="399"/>
      <c r="B84" s="399"/>
      <c r="C84" s="127" t="str">
        <f>IF($A$83="Yes","Answer Required","N/A")</f>
        <v>N/A</v>
      </c>
    </row>
    <row r="86" spans="1:3">
      <c r="A86" s="191" t="s">
        <v>348</v>
      </c>
    </row>
    <row r="87" spans="1:3" ht="17.25" customHeight="1">
      <c r="A87" s="402" t="str">
        <f>IF((SUM('Fund Financial Stmt Template'!O41))&gt;0,"Yes","No")</f>
        <v>No</v>
      </c>
      <c r="B87" s="647">
        <v>7</v>
      </c>
      <c r="C87" s="72" t="s">
        <v>311</v>
      </c>
    </row>
    <row r="88" spans="1:3" ht="25.5">
      <c r="A88" s="403"/>
      <c r="B88" s="73"/>
      <c r="C88" s="72" t="s">
        <v>251</v>
      </c>
    </row>
    <row r="89" spans="1:3">
      <c r="B89" s="78" t="s">
        <v>238</v>
      </c>
      <c r="C89" s="78" t="s">
        <v>716</v>
      </c>
    </row>
    <row r="90" spans="1:3">
      <c r="A90" s="261"/>
      <c r="B90" s="79"/>
      <c r="C90" s="110"/>
    </row>
    <row r="91" spans="1:3">
      <c r="A91" s="261"/>
      <c r="B91" s="79"/>
      <c r="C91" s="110"/>
    </row>
    <row r="92" spans="1:3">
      <c r="A92" s="261"/>
      <c r="B92" s="79"/>
      <c r="C92" s="110"/>
    </row>
    <row r="93" spans="1:3">
      <c r="A93" s="261"/>
      <c r="B93" s="79"/>
      <c r="C93" s="110"/>
    </row>
    <row r="94" spans="1:3">
      <c r="A94" s="261"/>
      <c r="B94" s="79"/>
      <c r="C94" s="110"/>
    </row>
    <row r="95" spans="1:3">
      <c r="A95" s="261"/>
      <c r="B95" s="79"/>
      <c r="C95" s="110"/>
    </row>
    <row r="96" spans="1:3">
      <c r="A96" s="261"/>
      <c r="B96" s="79"/>
      <c r="C96" s="110"/>
    </row>
    <row r="97" spans="1:3" ht="15">
      <c r="A97" s="261"/>
      <c r="B97" s="107"/>
      <c r="C97" s="78" t="s">
        <v>764</v>
      </c>
    </row>
    <row r="98" spans="1:3">
      <c r="A98" s="261"/>
      <c r="B98" s="79"/>
      <c r="C98" s="747" t="str">
        <f>IF(B98&lt;&gt;0,"Answer Required","")</f>
        <v/>
      </c>
    </row>
    <row r="99" spans="1:3">
      <c r="A99" s="261"/>
      <c r="B99" s="79"/>
      <c r="C99" s="747" t="str">
        <f>IF(B99&lt;&gt;0,"Answer Required","")</f>
        <v/>
      </c>
    </row>
    <row r="100" spans="1:3">
      <c r="A100" s="261"/>
      <c r="B100" s="79"/>
      <c r="C100" s="747" t="str">
        <f>IF(B100&lt;&gt;0,"Answer Required","")</f>
        <v/>
      </c>
    </row>
    <row r="101" spans="1:3" ht="13.5" thickBot="1">
      <c r="A101" s="257" t="s">
        <v>503</v>
      </c>
      <c r="B101" s="404">
        <f>IF(SUM(B90:B100)=SUM('Fund Financial Stmt Template'!O41),SUM(B90:B100),"ERROR")</f>
        <v>0</v>
      </c>
      <c r="C101" s="405"/>
    </row>
    <row r="102" spans="1:3" ht="13.5" thickTop="1">
      <c r="A102" s="324" t="s">
        <v>309</v>
      </c>
      <c r="B102" s="406">
        <f>SUM(B90:B100)-'Fund Financial Stmt Template'!O41</f>
        <v>0</v>
      </c>
    </row>
    <row r="103" spans="1:3" hidden="1"/>
    <row r="105" spans="1:3">
      <c r="A105" s="191" t="s">
        <v>312</v>
      </c>
    </row>
    <row r="106" spans="1:3">
      <c r="A106" s="71" t="s">
        <v>657</v>
      </c>
      <c r="B106" s="647">
        <v>8</v>
      </c>
      <c r="C106" s="72" t="s">
        <v>717</v>
      </c>
    </row>
    <row r="107" spans="1:3" ht="18" customHeight="1">
      <c r="C107" s="72" t="s">
        <v>3079</v>
      </c>
    </row>
    <row r="108" spans="1:3">
      <c r="C108" s="127" t="str">
        <f>IF($A$106="Yes","Answer Required","N/A")</f>
        <v>N/A</v>
      </c>
    </row>
    <row r="109" spans="1:3" hidden="1">
      <c r="C109" s="68"/>
    </row>
    <row r="110" spans="1:3" hidden="1">
      <c r="C110" s="68"/>
    </row>
    <row r="111" spans="1:3">
      <c r="A111" s="300"/>
      <c r="C111" s="68"/>
    </row>
    <row r="112" spans="1:3">
      <c r="A112" s="1098" t="s">
        <v>2561</v>
      </c>
      <c r="B112" s="1099"/>
      <c r="C112" s="1099"/>
    </row>
    <row r="113" spans="1:9" ht="44.25" customHeight="1">
      <c r="A113" s="71" t="s">
        <v>657</v>
      </c>
      <c r="B113" s="647">
        <v>9</v>
      </c>
      <c r="C113" s="80" t="s">
        <v>3074</v>
      </c>
    </row>
    <row r="114" spans="1:9" hidden="1">
      <c r="A114" s="101"/>
      <c r="B114" s="81"/>
      <c r="C114" s="542" t="str">
        <f>IF($A$113="Yes","Answer Required","N/A")</f>
        <v>N/A</v>
      </c>
    </row>
    <row r="115" spans="1:9" ht="25.5">
      <c r="A115" s="407"/>
      <c r="B115" s="408"/>
      <c r="C115" s="742" t="s">
        <v>253</v>
      </c>
    </row>
    <row r="116" spans="1:9" ht="27.75" customHeight="1">
      <c r="A116" s="407"/>
      <c r="B116" s="408"/>
      <c r="C116" s="743" t="s">
        <v>2854</v>
      </c>
    </row>
    <row r="117" spans="1:9" ht="28.5" customHeight="1">
      <c r="A117" s="407"/>
      <c r="B117" s="408"/>
      <c r="C117" s="743" t="s">
        <v>512</v>
      </c>
    </row>
    <row r="118" spans="1:9" ht="28.5" customHeight="1">
      <c r="A118" s="407"/>
      <c r="B118" s="408"/>
      <c r="C118" s="743" t="s">
        <v>513</v>
      </c>
    </row>
    <row r="119" spans="1:9" ht="25.5">
      <c r="A119" s="407"/>
      <c r="B119" s="408"/>
      <c r="C119" s="743" t="s">
        <v>514</v>
      </c>
    </row>
    <row r="120" spans="1:9" ht="53.25" customHeight="1">
      <c r="A120" s="407"/>
      <c r="B120" s="408"/>
      <c r="C120" s="744" t="s">
        <v>515</v>
      </c>
    </row>
    <row r="121" spans="1:9" hidden="1">
      <c r="A121" s="407"/>
      <c r="B121" s="408"/>
      <c r="C121" s="81"/>
    </row>
    <row r="122" spans="1:9" hidden="1">
      <c r="A122" s="407"/>
      <c r="B122" s="408"/>
      <c r="C122" s="81"/>
    </row>
    <row r="123" spans="1:9" s="438" customFormat="1" ht="68.25" hidden="1" customHeight="1">
      <c r="A123" s="543" t="str">
        <f>IF($A$113="YES","Answer Required","N/A")</f>
        <v>N/A</v>
      </c>
      <c r="B123" s="409" t="s">
        <v>41</v>
      </c>
      <c r="C123" s="136" t="s">
        <v>2676</v>
      </c>
      <c r="I123" s="191"/>
    </row>
    <row r="124" spans="1:9" s="438" customFormat="1" hidden="1">
      <c r="A124" s="410"/>
      <c r="B124" s="411"/>
      <c r="C124" s="139"/>
    </row>
    <row r="125" spans="1:9" s="438" customFormat="1" hidden="1">
      <c r="A125" s="410"/>
      <c r="B125" s="411"/>
      <c r="C125" s="139"/>
    </row>
    <row r="126" spans="1:9" s="438" customFormat="1" ht="42" hidden="1" customHeight="1">
      <c r="A126" s="543" t="str">
        <f>IF($A$123="YES","Answer Required","N/A")</f>
        <v>N/A</v>
      </c>
      <c r="B126" s="409" t="s">
        <v>42</v>
      </c>
      <c r="C126" s="136" t="s">
        <v>2677</v>
      </c>
    </row>
    <row r="127" spans="1:9" s="438" customFormat="1" hidden="1">
      <c r="A127" s="412"/>
      <c r="B127" s="413"/>
      <c r="C127" s="544" t="str">
        <f>IF($A$126="No","Answer Required","N/A")</f>
        <v>N/A</v>
      </c>
    </row>
    <row r="128" spans="1:9" s="438" customFormat="1" hidden="1">
      <c r="A128" s="412"/>
      <c r="B128" s="413"/>
      <c r="C128" s="140"/>
    </row>
    <row r="129" spans="1:14" s="438" customFormat="1" hidden="1">
      <c r="A129" s="412"/>
      <c r="B129" s="413"/>
      <c r="C129" s="140"/>
    </row>
    <row r="130" spans="1:14" s="438" customFormat="1" ht="42.75" hidden="1" customHeight="1">
      <c r="A130" s="543" t="str">
        <f>IF($A$113="YES","Answer Required","N/A")</f>
        <v>N/A</v>
      </c>
      <c r="B130" s="409" t="s">
        <v>516</v>
      </c>
      <c r="C130" s="136" t="s">
        <v>2678</v>
      </c>
    </row>
    <row r="131" spans="1:14" s="438" customFormat="1" hidden="1">
      <c r="A131" s="412"/>
      <c r="B131" s="413"/>
      <c r="C131" s="544" t="str">
        <f>IF($A$130="No","Answer Required","N/A")</f>
        <v>N/A</v>
      </c>
    </row>
    <row r="132" spans="1:14" s="438" customFormat="1" hidden="1">
      <c r="A132" s="412"/>
      <c r="B132" s="413"/>
      <c r="C132" s="140"/>
    </row>
    <row r="133" spans="1:14" s="438" customFormat="1" hidden="1">
      <c r="A133" s="412"/>
      <c r="B133" s="413"/>
      <c r="C133" s="140"/>
    </row>
    <row r="134" spans="1:14" s="438" customFormat="1" ht="54.75" hidden="1" customHeight="1">
      <c r="A134" s="543" t="str">
        <f>IF($A$113="YES","Answer Required","N/A")</f>
        <v>N/A</v>
      </c>
      <c r="B134" s="409" t="s">
        <v>43</v>
      </c>
      <c r="C134" s="136" t="s">
        <v>2679</v>
      </c>
    </row>
    <row r="135" spans="1:14" s="438" customFormat="1" hidden="1">
      <c r="A135" s="412"/>
      <c r="B135" s="413"/>
      <c r="C135" s="544" t="str">
        <f>IF($A$134="Yes","Answer Required","N/A")</f>
        <v>N/A</v>
      </c>
    </row>
    <row r="136" spans="1:14" s="438" customFormat="1" hidden="1">
      <c r="A136" s="412"/>
      <c r="B136" s="413"/>
      <c r="C136" s="140"/>
    </row>
    <row r="137" spans="1:14" s="438" customFormat="1" hidden="1">
      <c r="A137" s="412"/>
      <c r="B137" s="413"/>
      <c r="C137" s="140"/>
    </row>
    <row r="138" spans="1:14" s="438" customFormat="1" ht="54.75" hidden="1" customHeight="1">
      <c r="A138" s="543" t="str">
        <f>IF($A$113="YES","Answer Required","N/A")</f>
        <v>N/A</v>
      </c>
      <c r="B138" s="409" t="s">
        <v>44</v>
      </c>
      <c r="C138" s="136" t="s">
        <v>2680</v>
      </c>
    </row>
    <row r="139" spans="1:14" s="438" customFormat="1" hidden="1">
      <c r="A139" s="412"/>
      <c r="B139" s="413"/>
      <c r="C139" s="544" t="str">
        <f>IF($A$138="Yes","Answer Required","N/A")</f>
        <v>N/A</v>
      </c>
    </row>
    <row r="140" spans="1:14" s="438" customFormat="1" hidden="1">
      <c r="A140" s="412"/>
      <c r="B140" s="413"/>
      <c r="C140" s="140"/>
    </row>
    <row r="141" spans="1:14" s="438" customFormat="1" hidden="1">
      <c r="A141" s="412"/>
      <c r="B141" s="413"/>
      <c r="C141" s="140"/>
    </row>
    <row r="142" spans="1:14" s="438" customFormat="1" ht="180" hidden="1" customHeight="1">
      <c r="A142" s="543" t="str">
        <f>IF($A$113="YES","Answer Required","N/A")</f>
        <v>N/A</v>
      </c>
      <c r="B142" s="409" t="s">
        <v>45</v>
      </c>
      <c r="C142" s="136" t="s">
        <v>2681</v>
      </c>
      <c r="N142" s="439"/>
    </row>
    <row r="143" spans="1:14" s="438" customFormat="1" hidden="1">
      <c r="A143" s="410"/>
      <c r="B143" s="411"/>
      <c r="C143" s="139"/>
    </row>
    <row r="144" spans="1:14" s="438" customFormat="1" hidden="1">
      <c r="A144" s="410"/>
      <c r="B144" s="411"/>
      <c r="C144" s="139"/>
    </row>
    <row r="145" spans="1:9" s="438" customFormat="1" ht="30" hidden="1" customHeight="1">
      <c r="A145" s="543" t="str">
        <f>IF($A$113="YES","Answer Required","N/A")</f>
        <v>N/A</v>
      </c>
      <c r="B145" s="409" t="s">
        <v>38</v>
      </c>
      <c r="C145" s="136" t="s">
        <v>2682</v>
      </c>
    </row>
    <row r="146" spans="1:9" s="438" customFormat="1" hidden="1">
      <c r="A146" s="412"/>
      <c r="B146" s="413"/>
      <c r="C146" s="544" t="str">
        <f>IF($A$145="No","Answer Required","N/A")</f>
        <v>N/A</v>
      </c>
    </row>
    <row r="147" spans="1:9" s="438" customFormat="1" hidden="1">
      <c r="A147" s="412"/>
      <c r="B147" s="413"/>
      <c r="C147" s="140"/>
    </row>
    <row r="148" spans="1:9" s="438" customFormat="1" hidden="1">
      <c r="A148" s="412"/>
      <c r="B148" s="413"/>
      <c r="C148" s="140"/>
    </row>
    <row r="149" spans="1:9" s="438" customFormat="1" ht="34.5" hidden="1" customHeight="1">
      <c r="A149" s="412"/>
      <c r="B149" s="414" t="s">
        <v>341</v>
      </c>
      <c r="C149" s="136" t="s">
        <v>2683</v>
      </c>
    </row>
    <row r="150" spans="1:9" s="438" customFormat="1" hidden="1">
      <c r="A150" s="1080" t="s">
        <v>39</v>
      </c>
      <c r="B150" s="1080"/>
      <c r="C150" s="545"/>
    </row>
    <row r="151" spans="1:9" s="438" customFormat="1" hidden="1">
      <c r="A151" s="1080" t="s">
        <v>0</v>
      </c>
      <c r="B151" s="1081"/>
      <c r="C151" s="546"/>
    </row>
    <row r="152" spans="1:9" s="438" customFormat="1" ht="40.5" hidden="1" customHeight="1">
      <c r="A152" s="1080" t="s">
        <v>2684</v>
      </c>
      <c r="B152" s="1081"/>
      <c r="C152" s="546"/>
    </row>
    <row r="153" spans="1:9" s="438" customFormat="1" ht="27.75" hidden="1" customHeight="1">
      <c r="A153" s="1080" t="s">
        <v>40</v>
      </c>
      <c r="B153" s="1081"/>
      <c r="C153" s="141">
        <f>SUM(C151:C152)</f>
        <v>0</v>
      </c>
    </row>
    <row r="154" spans="1:9" s="438" customFormat="1" ht="42" hidden="1" customHeight="1">
      <c r="A154" s="1080" t="s">
        <v>713</v>
      </c>
      <c r="B154" s="1081"/>
      <c r="C154" s="547"/>
    </row>
    <row r="155" spans="1:9" s="438" customFormat="1" ht="20.25" hidden="1" customHeight="1">
      <c r="A155" s="1080" t="s">
        <v>561</v>
      </c>
      <c r="B155" s="1081"/>
      <c r="C155" s="547"/>
    </row>
    <row r="156" spans="1:9" s="438" customFormat="1" ht="33.75" hidden="1" customHeight="1">
      <c r="A156" s="1080" t="s">
        <v>562</v>
      </c>
      <c r="B156" s="1081"/>
      <c r="C156" s="547"/>
    </row>
    <row r="157" spans="1:9">
      <c r="A157" s="415"/>
      <c r="B157" s="415"/>
      <c r="C157" s="408"/>
      <c r="I157" s="438"/>
    </row>
    <row r="158" spans="1:9" ht="15.75">
      <c r="A158" s="191" t="s">
        <v>3601</v>
      </c>
      <c r="B158" s="416"/>
      <c r="C158" s="417"/>
    </row>
    <row r="159" spans="1:9" ht="57" customHeight="1">
      <c r="A159" s="71" t="s">
        <v>657</v>
      </c>
      <c r="B159" s="647">
        <v>10</v>
      </c>
      <c r="C159" s="72" t="s">
        <v>3445</v>
      </c>
    </row>
    <row r="160" spans="1:9">
      <c r="B160" s="191"/>
      <c r="C160" s="72" t="s">
        <v>3073</v>
      </c>
    </row>
    <row r="161" spans="1:9">
      <c r="B161" s="191"/>
      <c r="C161" s="127" t="str">
        <f>IF($A$159="Yes","Answer Required","N/A")</f>
        <v>N/A</v>
      </c>
    </row>
    <row r="162" spans="1:9" ht="31.5" customHeight="1">
      <c r="A162" s="418" t="s">
        <v>3083</v>
      </c>
      <c r="B162" s="305"/>
      <c r="C162" s="305"/>
    </row>
    <row r="163" spans="1:9" ht="132.75" customHeight="1">
      <c r="A163" s="1122" t="s">
        <v>3602</v>
      </c>
      <c r="B163" s="1123"/>
      <c r="C163" s="1124"/>
    </row>
    <row r="164" spans="1:9" ht="42" hidden="1" customHeight="1">
      <c r="A164" s="1130" t="s">
        <v>3594</v>
      </c>
      <c r="B164" s="1131"/>
      <c r="C164" s="1132"/>
    </row>
    <row r="165" spans="1:9" ht="30" hidden="1" customHeight="1">
      <c r="A165" s="1130" t="s">
        <v>3595</v>
      </c>
      <c r="B165" s="1131"/>
      <c r="C165" s="1132"/>
    </row>
    <row r="166" spans="1:9" ht="29.25" hidden="1" customHeight="1">
      <c r="A166" s="1130" t="s">
        <v>3596</v>
      </c>
      <c r="B166" s="1131"/>
      <c r="C166" s="1132"/>
    </row>
    <row r="167" spans="1:9" hidden="1">
      <c r="A167" s="419"/>
      <c r="B167" s="420"/>
      <c r="C167" s="421"/>
    </row>
    <row r="168" spans="1:9" ht="50.25" customHeight="1">
      <c r="A168" s="88" t="s">
        <v>657</v>
      </c>
      <c r="B168" s="97">
        <v>11</v>
      </c>
      <c r="C168" s="89" t="s">
        <v>3446</v>
      </c>
    </row>
    <row r="169" spans="1:9" s="438" customFormat="1" ht="63" hidden="1" customHeight="1">
      <c r="A169" s="1133"/>
      <c r="B169" s="1134"/>
      <c r="C169" s="544" t="str">
        <f>IF($A$168="Yes","Answer Required","N/A")</f>
        <v>N/A</v>
      </c>
      <c r="I169" s="191"/>
    </row>
    <row r="170" spans="1:9" hidden="1">
      <c r="A170" s="548" t="str">
        <f>IF($A$168="YES","Answer Required","N/A")</f>
        <v>N/A</v>
      </c>
      <c r="B170" s="97" t="s">
        <v>622</v>
      </c>
      <c r="C170" s="90" t="s">
        <v>674</v>
      </c>
      <c r="I170" s="438"/>
    </row>
    <row r="171" spans="1:9" hidden="1">
      <c r="A171" s="548" t="str">
        <f>IF($A$168="YES","Answer Required","N/A")</f>
        <v>N/A</v>
      </c>
      <c r="B171" s="97" t="s">
        <v>622</v>
      </c>
      <c r="C171" s="90" t="s">
        <v>675</v>
      </c>
    </row>
    <row r="172" spans="1:9" ht="33" hidden="1" customHeight="1">
      <c r="A172" s="548" t="str">
        <f>IF($A$168="YES","Answer Required","N/A")</f>
        <v>N/A</v>
      </c>
      <c r="B172" s="97" t="s">
        <v>622</v>
      </c>
      <c r="C172" s="90" t="s">
        <v>801</v>
      </c>
    </row>
    <row r="173" spans="1:9" hidden="1">
      <c r="A173" s="548" t="str">
        <f>IF($A$168="YES","Answer Required","N/A")</f>
        <v>N/A</v>
      </c>
      <c r="B173" s="97" t="s">
        <v>622</v>
      </c>
      <c r="C173" s="90" t="s">
        <v>676</v>
      </c>
    </row>
    <row r="174" spans="1:9" ht="15.75" hidden="1" customHeight="1">
      <c r="A174" s="98"/>
      <c r="B174" s="98"/>
      <c r="C174" s="102"/>
    </row>
    <row r="175" spans="1:9" ht="42" hidden="1" customHeight="1">
      <c r="A175" s="548" t="str">
        <f>IF($A$168="YES","Answer Required","N/A")</f>
        <v>N/A</v>
      </c>
      <c r="B175" s="97" t="s">
        <v>623</v>
      </c>
      <c r="C175" s="89" t="s">
        <v>2665</v>
      </c>
    </row>
    <row r="176" spans="1:9" hidden="1">
      <c r="A176" s="98"/>
      <c r="B176" s="98"/>
      <c r="C176" s="542" t="str">
        <f>IF($A$175="Yes","Answer Required","N/A")</f>
        <v>N/A</v>
      </c>
    </row>
    <row r="177" spans="1:3" ht="42" hidden="1" customHeight="1">
      <c r="A177" s="548" t="str">
        <f>IF($A$175="YES","Answer Required","N/A")</f>
        <v>N/A</v>
      </c>
      <c r="B177" s="97" t="s">
        <v>623</v>
      </c>
      <c r="C177" s="89" t="s">
        <v>2666</v>
      </c>
    </row>
    <row r="178" spans="1:3" ht="54" hidden="1" customHeight="1">
      <c r="A178" s="548" t="str">
        <f>IF($A$177="YES","Answer Required","N/A")</f>
        <v>N/A</v>
      </c>
      <c r="B178" s="97" t="s">
        <v>623</v>
      </c>
      <c r="C178" s="89" t="s">
        <v>2667</v>
      </c>
    </row>
    <row r="179" spans="1:3" hidden="1">
      <c r="A179" s="98"/>
      <c r="B179" s="98"/>
      <c r="C179" s="542" t="str">
        <f>IF($A$178="Yes","Answer Required","N/A")</f>
        <v>N/A</v>
      </c>
    </row>
    <row r="180" spans="1:3" ht="51.75" hidden="1" customHeight="1">
      <c r="A180" s="548" t="s">
        <v>657</v>
      </c>
      <c r="B180" s="97" t="s">
        <v>624</v>
      </c>
      <c r="C180" s="89" t="s">
        <v>2668</v>
      </c>
    </row>
    <row r="181" spans="1:3" hidden="1">
      <c r="A181" s="101"/>
      <c r="B181" s="101"/>
      <c r="C181" s="96" t="s">
        <v>673</v>
      </c>
    </row>
    <row r="182" spans="1:3" hidden="1">
      <c r="A182" s="548" t="str">
        <f>IF($A$180="YES","Answer Required","N/A")</f>
        <v>N/A</v>
      </c>
      <c r="B182" s="97" t="s">
        <v>624</v>
      </c>
      <c r="C182" s="90" t="s">
        <v>693</v>
      </c>
    </row>
    <row r="183" spans="1:3" hidden="1">
      <c r="A183" s="548" t="str">
        <f>IF($A$180="YES","Answer Required","N/A")</f>
        <v>N/A</v>
      </c>
      <c r="B183" s="97" t="s">
        <v>624</v>
      </c>
      <c r="C183" s="90" t="s">
        <v>675</v>
      </c>
    </row>
    <row r="184" spans="1:3" ht="25.5" hidden="1">
      <c r="A184" s="548" t="str">
        <f>IF($A$180="YES","Answer Required","N/A")</f>
        <v>N/A</v>
      </c>
      <c r="B184" s="97" t="s">
        <v>624</v>
      </c>
      <c r="C184" s="90" t="s">
        <v>801</v>
      </c>
    </row>
    <row r="185" spans="1:3" hidden="1">
      <c r="A185" s="548" t="str">
        <f>IF($A$180="YES","Answer Required","N/A")</f>
        <v>N/A</v>
      </c>
      <c r="B185" s="97" t="s">
        <v>624</v>
      </c>
      <c r="C185" s="90" t="s">
        <v>678</v>
      </c>
    </row>
    <row r="186" spans="1:3" hidden="1">
      <c r="A186" s="98"/>
      <c r="B186" s="98"/>
      <c r="C186" s="102"/>
    </row>
    <row r="187" spans="1:3" ht="57.75" hidden="1" customHeight="1">
      <c r="A187" s="488" t="str">
        <f>IF($A$182="YES","Answer Required","N/A")</f>
        <v>N/A</v>
      </c>
      <c r="B187" s="97" t="s">
        <v>624</v>
      </c>
      <c r="C187" s="91" t="s">
        <v>2669</v>
      </c>
    </row>
    <row r="188" spans="1:3" hidden="1">
      <c r="A188" s="1129" t="s">
        <v>758</v>
      </c>
      <c r="B188" s="1129"/>
      <c r="C188" s="542" t="str">
        <f>IF($A$187="Yes","Answer Required"," N/A")</f>
        <v xml:space="preserve"> N/A</v>
      </c>
    </row>
    <row r="189" spans="1:3" hidden="1">
      <c r="A189" s="1129" t="s">
        <v>679</v>
      </c>
      <c r="B189" s="1129"/>
      <c r="C189" s="549" t="str">
        <f>IF($A$187="Yes","Answer Required","N/A")</f>
        <v>N/A</v>
      </c>
    </row>
    <row r="190" spans="1:3" hidden="1">
      <c r="A190" s="1129" t="s">
        <v>680</v>
      </c>
      <c r="B190" s="1129"/>
      <c r="C190" s="542" t="str">
        <f>IF($A$187="Yes","Answer Required"," N/A")</f>
        <v xml:space="preserve"> N/A</v>
      </c>
    </row>
    <row r="191" spans="1:3" ht="33" hidden="1" customHeight="1">
      <c r="A191" s="1129" t="s">
        <v>2670</v>
      </c>
      <c r="B191" s="1129"/>
      <c r="C191" s="542" t="str">
        <f>IF($A$187="Yes","Answer Required"," N/A")</f>
        <v xml:space="preserve"> N/A</v>
      </c>
    </row>
    <row r="192" spans="1:3" ht="30" hidden="1" customHeight="1">
      <c r="A192" s="548" t="str">
        <f>IF($A$182="YES","Answer Required","N/A")</f>
        <v>N/A</v>
      </c>
      <c r="B192" s="97" t="s">
        <v>624</v>
      </c>
      <c r="C192" s="111" t="s">
        <v>684</v>
      </c>
    </row>
    <row r="193" spans="1:9" hidden="1">
      <c r="A193" s="98"/>
      <c r="B193" s="98"/>
      <c r="C193" s="542" t="str">
        <f>IF($A$192="No","Answer Required","N/A")</f>
        <v>N/A</v>
      </c>
    </row>
    <row r="194" spans="1:9" ht="40.5" hidden="1" customHeight="1">
      <c r="A194" s="548" t="s">
        <v>657</v>
      </c>
      <c r="B194" s="97" t="s">
        <v>625</v>
      </c>
      <c r="C194" s="89" t="s">
        <v>2671</v>
      </c>
    </row>
    <row r="195" spans="1:9" hidden="1">
      <c r="A195" s="98"/>
      <c r="B195" s="98"/>
      <c r="C195" s="542" t="str">
        <f>IF($A$194="Yes","Answer Required","N/A")</f>
        <v>N/A</v>
      </c>
    </row>
    <row r="196" spans="1:9" ht="56.25" hidden="1" customHeight="1">
      <c r="A196" s="548" t="str">
        <f>IF($A$168="YES","Answer Required","N/A")</f>
        <v>N/A</v>
      </c>
      <c r="B196" s="97" t="s">
        <v>626</v>
      </c>
      <c r="C196" s="89" t="s">
        <v>2672</v>
      </c>
    </row>
    <row r="197" spans="1:9" hidden="1">
      <c r="A197" s="98"/>
      <c r="B197" s="98"/>
      <c r="C197" s="542" t="str">
        <f>IF($A$196="Yes","Answer Required","N/A")</f>
        <v>N/A</v>
      </c>
    </row>
    <row r="198" spans="1:9" s="438" customFormat="1" ht="28.5" hidden="1" customHeight="1">
      <c r="A198" s="550" t="str">
        <f>IF($A$168="YES","Answer Required","N/A")</f>
        <v>N/A</v>
      </c>
      <c r="B198" s="142" t="s">
        <v>623</v>
      </c>
      <c r="C198" s="143" t="s">
        <v>2673</v>
      </c>
      <c r="I198" s="191"/>
    </row>
    <row r="199" spans="1:9" s="438" customFormat="1" hidden="1">
      <c r="A199" s="144"/>
      <c r="B199" s="144"/>
      <c r="C199" s="544" t="str">
        <f>IF($A$198="No","Answer Required","N/A")</f>
        <v>N/A</v>
      </c>
    </row>
    <row r="200" spans="1:9">
      <c r="B200" s="191"/>
      <c r="C200" s="191"/>
      <c r="I200" s="438"/>
    </row>
    <row r="201" spans="1:9" hidden="1">
      <c r="A201" s="748" t="s">
        <v>3413</v>
      </c>
      <c r="B201" s="424"/>
      <c r="C201" s="749"/>
    </row>
    <row r="202" spans="1:9" ht="66" hidden="1" customHeight="1">
      <c r="A202" s="1085" t="s">
        <v>3414</v>
      </c>
      <c r="B202" s="1086"/>
      <c r="C202" s="1087"/>
    </row>
    <row r="203" spans="1:9" ht="132.6" hidden="1" customHeight="1">
      <c r="A203" s="551" t="s">
        <v>657</v>
      </c>
      <c r="B203" s="750" t="s">
        <v>694</v>
      </c>
      <c r="C203" s="423" t="s">
        <v>3415</v>
      </c>
    </row>
    <row r="204" spans="1:9" s="438" customFormat="1" ht="25.5" hidden="1">
      <c r="A204" s="551" t="str">
        <f>IF($A$203="YES","Answer Required","N/A")</f>
        <v>N/A</v>
      </c>
      <c r="B204" s="422" t="s">
        <v>695</v>
      </c>
      <c r="C204" s="423" t="s">
        <v>701</v>
      </c>
      <c r="I204" s="191"/>
    </row>
    <row r="205" spans="1:9" s="438" customFormat="1" ht="25.5" hidden="1">
      <c r="A205" s="551" t="str">
        <f>IF($A$204="YES","Answer Required","N/A")</f>
        <v>N/A</v>
      </c>
      <c r="B205" s="422" t="s">
        <v>677</v>
      </c>
      <c r="C205" s="423" t="s">
        <v>825</v>
      </c>
    </row>
    <row r="206" spans="1:9" s="438" customFormat="1" ht="25.5" hidden="1">
      <c r="A206" s="551" t="str">
        <f>IF($A$205="YES","Answer Required","N/A")</f>
        <v>N/A</v>
      </c>
      <c r="B206" s="422" t="s">
        <v>681</v>
      </c>
      <c r="C206" s="423" t="s">
        <v>702</v>
      </c>
    </row>
    <row r="207" spans="1:9" s="438" customFormat="1" hidden="1">
      <c r="A207" s="551" t="str">
        <f>IF($A$206="YES","Answer Required","N/A")</f>
        <v>N/A</v>
      </c>
      <c r="B207" s="422" t="s">
        <v>682</v>
      </c>
      <c r="C207" s="423" t="s">
        <v>651</v>
      </c>
    </row>
    <row r="208" spans="1:9" s="438" customFormat="1" ht="38.25" hidden="1" customHeight="1">
      <c r="A208" s="551" t="str">
        <f>IF($A$206="YES","Answer Required","N/A")</f>
        <v>N/A</v>
      </c>
      <c r="B208" s="422" t="s">
        <v>683</v>
      </c>
      <c r="C208" s="423" t="s">
        <v>2685</v>
      </c>
    </row>
    <row r="209" spans="1:14" s="438" customFormat="1" hidden="1">
      <c r="A209" s="137"/>
      <c r="B209" s="424"/>
      <c r="C209" s="552" t="str">
        <f>IF($A$208="No","Answer Required","N/A")</f>
        <v>N/A</v>
      </c>
    </row>
    <row r="210" spans="1:14" s="438" customFormat="1" ht="38.25" hidden="1">
      <c r="A210" s="137"/>
      <c r="B210" s="424"/>
      <c r="C210" s="425" t="s">
        <v>2686</v>
      </c>
    </row>
    <row r="211" spans="1:14" ht="94.9" hidden="1" customHeight="1">
      <c r="A211" s="551" t="s">
        <v>657</v>
      </c>
      <c r="B211" s="750" t="s">
        <v>695</v>
      </c>
      <c r="C211" s="423" t="s">
        <v>3416</v>
      </c>
      <c r="I211" s="438"/>
    </row>
    <row r="212" spans="1:14" s="438" customFormat="1" ht="25.5" hidden="1">
      <c r="A212" s="551" t="str">
        <f>IF($A$211="YES","Answer Required","N/A")</f>
        <v>N/A</v>
      </c>
      <c r="B212" s="147" t="s">
        <v>696</v>
      </c>
      <c r="C212" s="145" t="s">
        <v>703</v>
      </c>
      <c r="I212" s="191"/>
    </row>
    <row r="213" spans="1:14" s="438" customFormat="1" ht="25.5" hidden="1">
      <c r="A213" s="551" t="str">
        <f>IF($A$212="YES","Answer Required","N/A")</f>
        <v>N/A</v>
      </c>
      <c r="B213" s="147" t="s">
        <v>697</v>
      </c>
      <c r="C213" s="145" t="s">
        <v>816</v>
      </c>
    </row>
    <row r="214" spans="1:14" s="438" customFormat="1" ht="25.5" hidden="1">
      <c r="A214" s="551" t="str">
        <f>IF($A$213="YES","Answer Required","N/A")</f>
        <v>N/A</v>
      </c>
      <c r="B214" s="147" t="s">
        <v>698</v>
      </c>
      <c r="C214" s="145" t="s">
        <v>704</v>
      </c>
    </row>
    <row r="215" spans="1:14" s="438" customFormat="1" hidden="1">
      <c r="A215" s="551" t="str">
        <f>IF($A$214="YES","Answer Required","N/A")</f>
        <v>N/A</v>
      </c>
      <c r="B215" s="147" t="s">
        <v>699</v>
      </c>
      <c r="C215" s="145" t="s">
        <v>652</v>
      </c>
    </row>
    <row r="216" spans="1:14" s="438" customFormat="1" ht="38.25" hidden="1">
      <c r="A216" s="551" t="str">
        <f>IF($A$214="YES","Answer Required","N/A")</f>
        <v>N/A</v>
      </c>
      <c r="B216" s="147" t="s">
        <v>700</v>
      </c>
      <c r="C216" s="145" t="s">
        <v>2687</v>
      </c>
    </row>
    <row r="217" spans="1:14" s="438" customFormat="1" hidden="1">
      <c r="A217" s="137"/>
      <c r="B217" s="146"/>
      <c r="C217" s="544" t="str">
        <f>IF($A$216="No","Answer Required","N/A")</f>
        <v>N/A</v>
      </c>
    </row>
    <row r="218" spans="1:14" s="438" customFormat="1" ht="38.25" hidden="1">
      <c r="A218" s="137"/>
      <c r="B218" s="138"/>
      <c r="C218" s="148" t="s">
        <v>2688</v>
      </c>
    </row>
    <row r="219" spans="1:14" hidden="1">
      <c r="I219" s="438"/>
    </row>
    <row r="220" spans="1:14">
      <c r="A220" s="426" t="s">
        <v>2562</v>
      </c>
      <c r="B220" s="427"/>
      <c r="C220" s="427"/>
    </row>
    <row r="221" spans="1:14" ht="271.5" customHeight="1">
      <c r="A221" s="1082" t="s">
        <v>3593</v>
      </c>
      <c r="B221" s="1083"/>
      <c r="C221" s="1084"/>
      <c r="N221" s="262"/>
    </row>
    <row r="222" spans="1:14" ht="45" customHeight="1">
      <c r="A222" s="71" t="s">
        <v>657</v>
      </c>
      <c r="B222" s="115" t="s">
        <v>694</v>
      </c>
      <c r="C222" s="120" t="s">
        <v>3447</v>
      </c>
    </row>
    <row r="223" spans="1:14" ht="38.25">
      <c r="A223" s="111" t="s">
        <v>719</v>
      </c>
      <c r="B223" s="92">
        <f>'Govwide Fin. Stmt Template'!O52</f>
        <v>0</v>
      </c>
      <c r="C223" s="120"/>
    </row>
    <row r="224" spans="1:14">
      <c r="B224" s="131" t="s">
        <v>627</v>
      </c>
      <c r="C224" s="131" t="s">
        <v>628</v>
      </c>
    </row>
    <row r="225" spans="1:3" ht="28.5" customHeight="1">
      <c r="B225" s="109"/>
      <c r="C225" s="120" t="s">
        <v>2835</v>
      </c>
    </row>
    <row r="226" spans="1:3" ht="41.25" customHeight="1">
      <c r="B226" s="109"/>
      <c r="C226" s="120" t="s">
        <v>2836</v>
      </c>
    </row>
    <row r="227" spans="1:3" ht="42" customHeight="1">
      <c r="B227" s="109"/>
      <c r="C227" s="120" t="s">
        <v>3249</v>
      </c>
    </row>
    <row r="228" spans="1:3" ht="42.75" customHeight="1">
      <c r="B228" s="109"/>
      <c r="C228" s="120" t="s">
        <v>775</v>
      </c>
    </row>
    <row r="229" spans="1:3" ht="28.5" customHeight="1">
      <c r="B229" s="109"/>
      <c r="C229" s="120" t="s">
        <v>691</v>
      </c>
    </row>
    <row r="230" spans="1:3" ht="27" customHeight="1">
      <c r="B230" s="109"/>
      <c r="C230" s="120" t="s">
        <v>692</v>
      </c>
    </row>
    <row r="231" spans="1:3" ht="28.5" customHeight="1">
      <c r="B231" s="109"/>
      <c r="C231" s="120" t="s">
        <v>776</v>
      </c>
    </row>
    <row r="232" spans="1:3" ht="28.5" customHeight="1">
      <c r="B232" s="109"/>
      <c r="C232" s="120" t="s">
        <v>777</v>
      </c>
    </row>
    <row r="233" spans="1:3" ht="27.75" customHeight="1">
      <c r="B233" s="109"/>
      <c r="C233" s="120" t="s">
        <v>2719</v>
      </c>
    </row>
    <row r="234" spans="1:3" ht="28.5" customHeight="1">
      <c r="B234" s="109"/>
      <c r="C234" s="179" t="s">
        <v>2846</v>
      </c>
    </row>
    <row r="235" spans="1:3" ht="16.5" customHeight="1">
      <c r="B235" s="109"/>
      <c r="C235" s="179" t="s">
        <v>3432</v>
      </c>
    </row>
    <row r="236" spans="1:3" ht="54.75" customHeight="1">
      <c r="B236" s="109"/>
      <c r="C236" s="179" t="s">
        <v>3592</v>
      </c>
    </row>
    <row r="237" spans="1:3" ht="18" customHeight="1">
      <c r="A237" s="94" t="s">
        <v>503</v>
      </c>
      <c r="B237" s="93">
        <f>IF(SUM(B225:B236)=B223,B223,"Error")</f>
        <v>0</v>
      </c>
      <c r="C237" s="120" t="s">
        <v>721</v>
      </c>
    </row>
    <row r="238" spans="1:3">
      <c r="A238" s="468" t="s">
        <v>309</v>
      </c>
      <c r="B238" s="469">
        <f>SUM(B225:B236)-B223</f>
        <v>0</v>
      </c>
      <c r="C238" s="454"/>
    </row>
    <row r="239" spans="1:3">
      <c r="A239" s="464"/>
      <c r="B239" s="465"/>
      <c r="C239" s="407"/>
    </row>
    <row r="240" spans="1:3" ht="42.75" customHeight="1">
      <c r="A240" s="71" t="s">
        <v>657</v>
      </c>
      <c r="B240" s="115" t="s">
        <v>695</v>
      </c>
      <c r="C240" s="120" t="s">
        <v>3448</v>
      </c>
    </row>
    <row r="241" spans="1:3" ht="42" customHeight="1">
      <c r="A241" s="111" t="s">
        <v>720</v>
      </c>
      <c r="B241" s="92">
        <f>'Govwide Fin. Stmt Template'!O110</f>
        <v>0</v>
      </c>
    </row>
    <row r="242" spans="1:3">
      <c r="B242" s="131" t="s">
        <v>627</v>
      </c>
      <c r="C242" s="131" t="s">
        <v>629</v>
      </c>
    </row>
    <row r="243" spans="1:3" ht="27.75" customHeight="1">
      <c r="B243" s="109"/>
      <c r="C243" s="120" t="s">
        <v>2837</v>
      </c>
    </row>
    <row r="244" spans="1:3" ht="40.5" customHeight="1">
      <c r="B244" s="109"/>
      <c r="C244" s="120" t="s">
        <v>3398</v>
      </c>
    </row>
    <row r="245" spans="1:3" ht="42" customHeight="1">
      <c r="B245" s="109"/>
      <c r="C245" s="120" t="s">
        <v>3399</v>
      </c>
    </row>
    <row r="246" spans="1:3" ht="41.25" customHeight="1">
      <c r="B246" s="109"/>
      <c r="C246" s="120" t="s">
        <v>3400</v>
      </c>
    </row>
    <row r="247" spans="1:3" ht="41.25" customHeight="1">
      <c r="B247" s="109"/>
      <c r="C247" s="120" t="s">
        <v>3401</v>
      </c>
    </row>
    <row r="248" spans="1:3" ht="43.5" customHeight="1">
      <c r="B248" s="109"/>
      <c r="C248" s="120" t="s">
        <v>3402</v>
      </c>
    </row>
    <row r="249" spans="1:3" ht="30" customHeight="1">
      <c r="B249" s="109"/>
      <c r="C249" s="120" t="s">
        <v>3403</v>
      </c>
    </row>
    <row r="250" spans="1:3" ht="30" customHeight="1">
      <c r="B250" s="109"/>
      <c r="C250" s="120" t="s">
        <v>3404</v>
      </c>
    </row>
    <row r="251" spans="1:3" ht="30.75" customHeight="1">
      <c r="B251" s="109"/>
      <c r="C251" s="120" t="s">
        <v>3405</v>
      </c>
    </row>
    <row r="252" spans="1:3" ht="30.75" customHeight="1">
      <c r="B252" s="109"/>
      <c r="C252" s="120" t="s">
        <v>3406</v>
      </c>
    </row>
    <row r="253" spans="1:3" ht="42" customHeight="1">
      <c r="B253" s="109"/>
      <c r="C253" s="120" t="s">
        <v>3407</v>
      </c>
    </row>
    <row r="254" spans="1:3" ht="27.75" customHeight="1">
      <c r="B254" s="109"/>
      <c r="C254" s="120" t="s">
        <v>3408</v>
      </c>
    </row>
    <row r="255" spans="1:3" ht="15.6" customHeight="1">
      <c r="B255" s="109"/>
      <c r="C255" s="120" t="s">
        <v>3433</v>
      </c>
    </row>
    <row r="256" spans="1:3" ht="43.5" customHeight="1">
      <c r="B256" s="109"/>
      <c r="C256" s="120" t="s">
        <v>3428</v>
      </c>
    </row>
    <row r="257" spans="1:3" ht="42.75" customHeight="1">
      <c r="B257" s="109"/>
      <c r="C257" s="755" t="s">
        <v>3434</v>
      </c>
    </row>
    <row r="258" spans="1:3">
      <c r="A258" s="123" t="s">
        <v>503</v>
      </c>
      <c r="B258" s="93">
        <f>IF(SUM(B243:B257)=B241,B241,"Error")</f>
        <v>0</v>
      </c>
      <c r="C258" s="120" t="s">
        <v>721</v>
      </c>
    </row>
    <row r="259" spans="1:3">
      <c r="A259" s="462" t="s">
        <v>309</v>
      </c>
      <c r="B259" s="463">
        <f>SUM(B243:B257)-B241</f>
        <v>0</v>
      </c>
      <c r="C259" s="407"/>
    </row>
    <row r="260" spans="1:3" ht="6.75" customHeight="1">
      <c r="A260" s="466"/>
      <c r="B260" s="467"/>
      <c r="C260" s="456"/>
    </row>
    <row r="261" spans="1:3" ht="58.5" customHeight="1">
      <c r="A261" s="180" t="str">
        <f>IF(OR($A$240="YES",$A$222="YES"),"Answer Required","N/A")</f>
        <v>N/A</v>
      </c>
      <c r="B261" s="106" t="s">
        <v>677</v>
      </c>
      <c r="C261" s="105" t="s">
        <v>3449</v>
      </c>
    </row>
    <row r="262" spans="1:3">
      <c r="A262" s="9"/>
      <c r="B262" s="67"/>
      <c r="C262" s="127" t="str">
        <f>IF($A$261="Yes","Answer Required","N/A")</f>
        <v>N/A</v>
      </c>
    </row>
    <row r="263" spans="1:3" ht="9" customHeight="1">
      <c r="A263" s="99"/>
      <c r="B263" s="100"/>
      <c r="C263" s="101"/>
    </row>
    <row r="264" spans="1:3" ht="53.25" customHeight="1">
      <c r="A264" s="71" t="s">
        <v>657</v>
      </c>
      <c r="B264" s="115" t="s">
        <v>681</v>
      </c>
      <c r="C264" s="120" t="s">
        <v>3450</v>
      </c>
    </row>
    <row r="265" spans="1:3" ht="28.5" customHeight="1">
      <c r="A265" s="85" t="s">
        <v>708</v>
      </c>
      <c r="B265" s="92">
        <f>'Fund Financial Stmt Template'!M52</f>
        <v>0</v>
      </c>
      <c r="C265" s="120"/>
    </row>
    <row r="266" spans="1:3">
      <c r="A266" s="131" t="s">
        <v>630</v>
      </c>
      <c r="B266" s="131" t="s">
        <v>627</v>
      </c>
      <c r="C266" s="131" t="s">
        <v>628</v>
      </c>
    </row>
    <row r="267" spans="1:3" ht="42" customHeight="1">
      <c r="B267" s="109"/>
      <c r="C267" s="120" t="s">
        <v>778</v>
      </c>
    </row>
    <row r="268" spans="1:3" ht="30" customHeight="1">
      <c r="B268" s="109"/>
      <c r="C268" s="120" t="s">
        <v>709</v>
      </c>
    </row>
    <row r="269" spans="1:3">
      <c r="A269" s="94" t="s">
        <v>503</v>
      </c>
      <c r="B269" s="93">
        <f>IF(SUM(B267:B268)=B265,B265,"Error")</f>
        <v>0</v>
      </c>
      <c r="C269" s="120" t="s">
        <v>686</v>
      </c>
    </row>
    <row r="270" spans="1:3">
      <c r="A270" s="462" t="s">
        <v>309</v>
      </c>
      <c r="B270" s="463">
        <f>SUM(B267:B268)-B265</f>
        <v>0</v>
      </c>
      <c r="C270" s="407"/>
    </row>
    <row r="271" spans="1:3" ht="6.75" customHeight="1">
      <c r="A271" s="464"/>
      <c r="B271" s="465"/>
      <c r="C271" s="407"/>
    </row>
    <row r="272" spans="1:3" ht="55.9" customHeight="1">
      <c r="A272" s="71" t="s">
        <v>657</v>
      </c>
      <c r="B272" s="115" t="s">
        <v>682</v>
      </c>
      <c r="C272" s="120" t="s">
        <v>3451</v>
      </c>
    </row>
    <row r="273" spans="1:9" ht="25.5">
      <c r="A273" s="85" t="s">
        <v>710</v>
      </c>
      <c r="B273" s="95">
        <f>'Fund Financial Stmt Template'!M88</f>
        <v>0</v>
      </c>
      <c r="C273" s="120"/>
    </row>
    <row r="274" spans="1:9">
      <c r="A274" s="131" t="s">
        <v>630</v>
      </c>
      <c r="B274" s="131" t="s">
        <v>627</v>
      </c>
      <c r="C274" s="131" t="s">
        <v>629</v>
      </c>
    </row>
    <row r="275" spans="1:9" ht="41.25" customHeight="1">
      <c r="B275" s="109"/>
      <c r="C275" s="120" t="s">
        <v>779</v>
      </c>
    </row>
    <row r="276" spans="1:9" ht="41.25" customHeight="1">
      <c r="B276" s="109"/>
      <c r="C276" s="120" t="s">
        <v>711</v>
      </c>
    </row>
    <row r="277" spans="1:9" ht="42.75" customHeight="1">
      <c r="B277" s="109"/>
      <c r="C277" s="120" t="s">
        <v>712</v>
      </c>
    </row>
    <row r="278" spans="1:9" ht="30" customHeight="1">
      <c r="B278" s="109"/>
      <c r="C278" s="120" t="s">
        <v>780</v>
      </c>
    </row>
    <row r="279" spans="1:9">
      <c r="A279" s="94" t="s">
        <v>503</v>
      </c>
      <c r="B279" s="93">
        <f>IF(SUM(B275:B278)=B273,B273,"Error")</f>
        <v>0</v>
      </c>
      <c r="C279" s="120" t="s">
        <v>686</v>
      </c>
    </row>
    <row r="280" spans="1:9">
      <c r="A280" s="462" t="s">
        <v>309</v>
      </c>
      <c r="B280" s="463">
        <f>SUM(B275:B278)-B273</f>
        <v>0</v>
      </c>
      <c r="C280" s="407"/>
    </row>
    <row r="281" spans="1:9">
      <c r="A281" s="464"/>
      <c r="B281" s="465"/>
      <c r="C281" s="407"/>
    </row>
    <row r="282" spans="1:9" s="438" customFormat="1" ht="19.5" hidden="1" customHeight="1">
      <c r="A282" s="1125" t="s">
        <v>2689</v>
      </c>
      <c r="B282" s="1125"/>
      <c r="C282" s="1125"/>
      <c r="I282" s="191"/>
    </row>
    <row r="283" spans="1:9" s="438" customFormat="1" ht="139.5" hidden="1" customHeight="1">
      <c r="A283" s="1126" t="s">
        <v>2690</v>
      </c>
      <c r="B283" s="1127"/>
      <c r="C283" s="1128"/>
    </row>
    <row r="284" spans="1:9" s="438" customFormat="1" ht="29.25" hidden="1" customHeight="1">
      <c r="A284" s="553" t="s">
        <v>657</v>
      </c>
      <c r="B284" s="149" t="s">
        <v>685</v>
      </c>
      <c r="C284" s="150" t="s">
        <v>2674</v>
      </c>
    </row>
    <row r="285" spans="1:9" s="438" customFormat="1" hidden="1">
      <c r="A285" s="137"/>
      <c r="B285" s="151" t="s">
        <v>627</v>
      </c>
      <c r="C285" s="152" t="s">
        <v>689</v>
      </c>
    </row>
    <row r="286" spans="1:9" s="438" customFormat="1" ht="30" hidden="1" customHeight="1">
      <c r="A286" s="137"/>
      <c r="B286" s="554"/>
      <c r="C286" s="153" t="s">
        <v>2691</v>
      </c>
    </row>
    <row r="287" spans="1:9" s="438" customFormat="1" ht="28.5" hidden="1" customHeight="1">
      <c r="A287" s="137"/>
      <c r="B287" s="554"/>
      <c r="C287" s="153" t="s">
        <v>2692</v>
      </c>
    </row>
    <row r="288" spans="1:9" s="438" customFormat="1" ht="142.5" hidden="1" customHeight="1">
      <c r="A288" s="137"/>
      <c r="B288" s="554"/>
      <c r="C288" s="153" t="s">
        <v>2693</v>
      </c>
    </row>
    <row r="289" spans="1:9" s="438" customFormat="1" ht="17.25" hidden="1" customHeight="1">
      <c r="A289" s="137"/>
      <c r="B289" s="554"/>
      <c r="C289" s="153" t="s">
        <v>2694</v>
      </c>
    </row>
    <row r="290" spans="1:9" s="438" customFormat="1" ht="28.5" hidden="1" customHeight="1">
      <c r="A290" s="137"/>
      <c r="B290" s="554"/>
      <c r="C290" s="153" t="s">
        <v>2695</v>
      </c>
    </row>
    <row r="291" spans="1:9" s="438" customFormat="1" ht="27.75" hidden="1" customHeight="1">
      <c r="A291" s="137"/>
      <c r="B291" s="554"/>
      <c r="C291" s="153" t="s">
        <v>2696</v>
      </c>
    </row>
    <row r="292" spans="1:9" s="440" customFormat="1" ht="13.5" hidden="1" thickBot="1">
      <c r="A292" s="154" t="s">
        <v>503</v>
      </c>
      <c r="B292" s="155">
        <f>SUM(B286:B291)</f>
        <v>0</v>
      </c>
      <c r="C292" s="156"/>
      <c r="I292" s="438"/>
    </row>
    <row r="293" spans="1:9" s="440" customFormat="1" hidden="1">
      <c r="A293" s="157"/>
      <c r="B293" s="156"/>
      <c r="C293" s="156"/>
    </row>
    <row r="294" spans="1:9" s="440" customFormat="1" ht="30" hidden="1" customHeight="1">
      <c r="A294" s="553" t="s">
        <v>657</v>
      </c>
      <c r="B294" s="149" t="s">
        <v>687</v>
      </c>
      <c r="C294" s="150" t="s">
        <v>2675</v>
      </c>
      <c r="D294" s="441"/>
      <c r="E294" s="441"/>
    </row>
    <row r="295" spans="1:9" s="440" customFormat="1" ht="18" hidden="1" customHeight="1">
      <c r="A295" s="137"/>
      <c r="B295" s="151" t="s">
        <v>627</v>
      </c>
      <c r="C295" s="152" t="s">
        <v>690</v>
      </c>
      <c r="D295" s="442"/>
      <c r="E295" s="442"/>
    </row>
    <row r="296" spans="1:9" s="440" customFormat="1" ht="27.75" hidden="1" customHeight="1">
      <c r="A296" s="137"/>
      <c r="B296" s="554"/>
      <c r="C296" s="153" t="s">
        <v>2697</v>
      </c>
    </row>
    <row r="297" spans="1:9" s="438" customFormat="1" ht="56.25" hidden="1" customHeight="1">
      <c r="A297" s="137"/>
      <c r="B297" s="554"/>
      <c r="C297" s="158" t="s">
        <v>2698</v>
      </c>
      <c r="I297" s="440"/>
    </row>
    <row r="298" spans="1:9" s="438" customFormat="1" ht="30" hidden="1" customHeight="1">
      <c r="A298" s="137"/>
      <c r="B298" s="554"/>
      <c r="C298" s="158" t="s">
        <v>2699</v>
      </c>
    </row>
    <row r="299" spans="1:9" s="438" customFormat="1" ht="30" hidden="1" customHeight="1">
      <c r="A299" s="137"/>
      <c r="B299" s="554"/>
      <c r="C299" s="153" t="s">
        <v>2700</v>
      </c>
    </row>
    <row r="300" spans="1:9" s="438" customFormat="1" ht="13.5" hidden="1" thickBot="1">
      <c r="A300" s="154" t="s">
        <v>503</v>
      </c>
      <c r="B300" s="155">
        <f>SUM(B296:B299)</f>
        <v>0</v>
      </c>
      <c r="C300" s="156"/>
    </row>
    <row r="301" spans="1:9" s="438" customFormat="1" hidden="1">
      <c r="A301" s="159"/>
      <c r="B301" s="160"/>
      <c r="C301" s="161"/>
    </row>
    <row r="302" spans="1:9" s="438" customFormat="1" ht="16.5" hidden="1" customHeight="1">
      <c r="A302" s="555" t="str">
        <f>IF(OR($A$284="YES",$A$294="YES"),"Answer Required","N/A")</f>
        <v>N/A</v>
      </c>
      <c r="B302" s="162" t="s">
        <v>688</v>
      </c>
      <c r="C302" s="153" t="s">
        <v>2701</v>
      </c>
    </row>
    <row r="303" spans="1:9" s="438" customFormat="1" ht="28.5" hidden="1" customHeight="1">
      <c r="A303" s="163"/>
      <c r="B303" s="164"/>
      <c r="C303" s="556" t="str">
        <f>IF($A$302="No","Answer Required","N/A")</f>
        <v>N/A</v>
      </c>
    </row>
    <row r="304" spans="1:9" hidden="1">
      <c r="A304" s="1120"/>
      <c r="B304" s="1121"/>
      <c r="C304" s="1121"/>
      <c r="I304" s="438"/>
    </row>
    <row r="305" spans="1:3">
      <c r="A305" s="1077" t="s">
        <v>2827</v>
      </c>
      <c r="B305" s="1077"/>
      <c r="C305" s="1077"/>
    </row>
    <row r="306" spans="1:3" ht="213.75" customHeight="1">
      <c r="A306" s="1078" t="s">
        <v>2847</v>
      </c>
      <c r="B306" s="1079"/>
      <c r="C306" s="1079"/>
    </row>
    <row r="307" spans="1:3" ht="25.5">
      <c r="A307" s="88" t="s">
        <v>657</v>
      </c>
      <c r="B307" s="115" t="s">
        <v>705</v>
      </c>
      <c r="C307" s="120" t="s">
        <v>3452</v>
      </c>
    </row>
    <row r="308" spans="1:3" ht="30" customHeight="1">
      <c r="A308" s="460"/>
      <c r="B308" s="116"/>
      <c r="C308" s="120" t="s">
        <v>2720</v>
      </c>
    </row>
    <row r="309" spans="1:3" ht="25.5">
      <c r="A309" s="461"/>
      <c r="B309" s="131" t="s">
        <v>811</v>
      </c>
      <c r="C309" s="131" t="s">
        <v>809</v>
      </c>
    </row>
    <row r="310" spans="1:3" ht="25.5">
      <c r="A310" s="111" t="s">
        <v>810</v>
      </c>
      <c r="B310" s="130"/>
      <c r="C310" s="124" t="str">
        <f>IF($B$310=0,"N/A","Answer Required")</f>
        <v>N/A</v>
      </c>
    </row>
    <row r="311" spans="1:3" ht="25.5">
      <c r="A311" s="111" t="s">
        <v>812</v>
      </c>
      <c r="B311" s="431"/>
      <c r="C311" s="124" t="str">
        <f>IF($B$311=0,"N/A","Answer Required")</f>
        <v>N/A</v>
      </c>
    </row>
    <row r="312" spans="1:3" ht="25.5">
      <c r="A312" s="111" t="s">
        <v>2902</v>
      </c>
      <c r="B312" s="431"/>
      <c r="C312" s="124" t="str">
        <f>IF($B$312=0,"N/A","Answer Required")</f>
        <v>N/A</v>
      </c>
    </row>
    <row r="313" spans="1:3" ht="20.25" customHeight="1">
      <c r="A313" s="445"/>
      <c r="B313" s="114">
        <f>SUM(B310:B312)</f>
        <v>0</v>
      </c>
      <c r="C313" s="103" t="s">
        <v>826</v>
      </c>
    </row>
    <row r="314" spans="1:3" ht="25.5">
      <c r="A314" s="452" t="s">
        <v>828</v>
      </c>
      <c r="B314" s="118">
        <f>SUM('Tab 1B-CE &amp; Inv Not W Treas '!AB:AD)</f>
        <v>0</v>
      </c>
      <c r="C314" s="120" t="s">
        <v>2559</v>
      </c>
    </row>
    <row r="315" spans="1:3">
      <c r="A315" s="445"/>
      <c r="B315" s="114">
        <f>B313-B314</f>
        <v>0</v>
      </c>
      <c r="C315" s="103" t="s">
        <v>827</v>
      </c>
    </row>
    <row r="316" spans="1:3" ht="38.25">
      <c r="A316" s="445"/>
      <c r="B316" s="453"/>
      <c r="C316" s="132" t="s">
        <v>2570</v>
      </c>
    </row>
    <row r="317" spans="1:3">
      <c r="A317" s="445"/>
      <c r="B317" s="458"/>
      <c r="C317" s="117" t="str">
        <f>IF($B$315=0,"N/A","Answer Required")</f>
        <v>N/A</v>
      </c>
    </row>
    <row r="318" spans="1:3" ht="25.5">
      <c r="A318" s="88" t="str">
        <f>IF($A$307="Yes","Answer Required","N/A")</f>
        <v>N/A</v>
      </c>
      <c r="B318" s="115" t="s">
        <v>706</v>
      </c>
      <c r="C318" s="120" t="s">
        <v>3431</v>
      </c>
    </row>
    <row r="319" spans="1:3">
      <c r="A319" s="445"/>
      <c r="B319" s="459"/>
      <c r="C319" s="120" t="s">
        <v>847</v>
      </c>
    </row>
    <row r="320" spans="1:3">
      <c r="A320" s="445"/>
      <c r="B320" s="458"/>
      <c r="C320" s="125" t="str">
        <f>IF($A$318="Yes","Answer Required","N/A")</f>
        <v>N/A</v>
      </c>
    </row>
    <row r="321" spans="1:9" ht="25.5">
      <c r="A321" s="88" t="s">
        <v>657</v>
      </c>
      <c r="B321" s="115" t="s">
        <v>707</v>
      </c>
      <c r="C321" s="120" t="s">
        <v>3453</v>
      </c>
    </row>
    <row r="322" spans="1:9" ht="38.25">
      <c r="A322" s="451"/>
      <c r="B322" s="116"/>
      <c r="C322" s="120" t="s">
        <v>2571</v>
      </c>
    </row>
    <row r="323" spans="1:9" ht="38.25">
      <c r="A323" s="443"/>
      <c r="B323" s="131" t="s">
        <v>829</v>
      </c>
      <c r="C323" s="131" t="s">
        <v>2572</v>
      </c>
    </row>
    <row r="324" spans="1:9">
      <c r="A324" s="445"/>
      <c r="B324" s="130"/>
      <c r="C324" s="117" t="str">
        <f>IF($B$324=0,"N/A","Answer Required")</f>
        <v>N/A</v>
      </c>
    </row>
    <row r="325" spans="1:9" ht="25.5">
      <c r="A325" s="452" t="s">
        <v>828</v>
      </c>
      <c r="B325" s="118">
        <f>SUM('Tab 1B-CE &amp; Inv Not W Treas '!AE:AE)</f>
        <v>0</v>
      </c>
      <c r="C325" s="132" t="s">
        <v>2573</v>
      </c>
    </row>
    <row r="326" spans="1:9">
      <c r="A326" s="445"/>
      <c r="B326" s="114">
        <f>B324-B325</f>
        <v>0</v>
      </c>
      <c r="C326" s="103" t="s">
        <v>827</v>
      </c>
    </row>
    <row r="327" spans="1:9" ht="25.5">
      <c r="A327" s="445"/>
      <c r="B327" s="453"/>
      <c r="C327" s="132" t="s">
        <v>2574</v>
      </c>
    </row>
    <row r="328" spans="1:9">
      <c r="A328" s="445"/>
      <c r="B328" s="119"/>
      <c r="C328" s="117" t="str">
        <f>IF($B$326=0,"N/A","Answer Required")</f>
        <v>N/A</v>
      </c>
    </row>
    <row r="329" spans="1:9" ht="25.5" customHeight="1">
      <c r="A329" s="88" t="str">
        <f>IF(OR($A$307="Yes",$A$321="Yes"),"Answer Required","N/A")</f>
        <v>N/A</v>
      </c>
      <c r="B329" s="115" t="s">
        <v>2838</v>
      </c>
      <c r="C329" s="120" t="s">
        <v>3454</v>
      </c>
    </row>
    <row r="330" spans="1:9">
      <c r="A330" s="454"/>
      <c r="B330" s="455"/>
      <c r="C330" s="120" t="s">
        <v>846</v>
      </c>
    </row>
    <row r="331" spans="1:9">
      <c r="A331" s="456"/>
      <c r="B331" s="457"/>
      <c r="C331" s="125" t="str">
        <f>IF($A$329="No","Answer Required","N/A")</f>
        <v>N/A</v>
      </c>
    </row>
    <row r="332" spans="1:9" ht="25.5">
      <c r="A332" s="88" t="s">
        <v>398</v>
      </c>
      <c r="B332" s="115" t="s">
        <v>2839</v>
      </c>
      <c r="C332" s="120" t="s">
        <v>3455</v>
      </c>
    </row>
    <row r="333" spans="1:9">
      <c r="A333" s="443"/>
      <c r="B333" s="444"/>
      <c r="C333" s="120" t="s">
        <v>830</v>
      </c>
    </row>
    <row r="334" spans="1:9">
      <c r="A334" s="445"/>
      <c r="B334" s="444"/>
      <c r="C334" s="117" t="str">
        <f>IF($A$332="YES","Answer Required","N/A")</f>
        <v>N/A</v>
      </c>
    </row>
    <row r="335" spans="1:9" s="438" customFormat="1" ht="15" hidden="1">
      <c r="A335" s="446" t="s">
        <v>657</v>
      </c>
      <c r="B335" s="447" t="s">
        <v>2702</v>
      </c>
      <c r="C335" s="153" t="s">
        <v>2703</v>
      </c>
      <c r="I335" s="191"/>
    </row>
    <row r="336" spans="1:9" s="438" customFormat="1" hidden="1">
      <c r="A336" s="448"/>
      <c r="B336" s="449"/>
      <c r="C336" s="153" t="s">
        <v>2704</v>
      </c>
    </row>
    <row r="337" spans="1:9" s="438" customFormat="1" hidden="1">
      <c r="A337" s="450"/>
      <c r="B337" s="449"/>
      <c r="C337" s="428" t="str">
        <f>IF($A$335="No","Answer Required","N/A")</f>
        <v>N/A</v>
      </c>
    </row>
    <row r="338" spans="1:9" s="438" customFormat="1" hidden="1">
      <c r="B338" s="424"/>
      <c r="C338" s="148"/>
    </row>
    <row r="339" spans="1:9">
      <c r="E339"/>
      <c r="I339" s="438"/>
    </row>
    <row r="340" spans="1:9">
      <c r="A340" s="1076" t="s">
        <v>3251</v>
      </c>
      <c r="B340" s="1076"/>
      <c r="C340" s="1076"/>
    </row>
    <row r="341" spans="1:9" ht="38.25">
      <c r="A341" s="88" t="s">
        <v>657</v>
      </c>
      <c r="B341" s="115">
        <v>14</v>
      </c>
      <c r="C341" s="120" t="s">
        <v>3456</v>
      </c>
    </row>
    <row r="342" spans="1:9">
      <c r="C342" s="117" t="str">
        <f>IF(A341="YES","Answer Required","N/A")</f>
        <v>N/A</v>
      </c>
    </row>
    <row r="344" spans="1:9">
      <c r="A344" s="1076" t="s">
        <v>3252</v>
      </c>
      <c r="B344" s="1076"/>
      <c r="C344" s="1076"/>
    </row>
    <row r="345" spans="1:9" ht="25.5">
      <c r="A345" s="88" t="s">
        <v>657</v>
      </c>
      <c r="B345" s="115" t="s">
        <v>3417</v>
      </c>
      <c r="C345" s="120" t="s">
        <v>3457</v>
      </c>
    </row>
    <row r="346" spans="1:9">
      <c r="B346" s="400" t="s">
        <v>3418</v>
      </c>
      <c r="C346" s="401" t="s">
        <v>2889</v>
      </c>
    </row>
    <row r="347" spans="1:9">
      <c r="B347" s="393" t="s">
        <v>2882</v>
      </c>
      <c r="C347" s="557" t="s">
        <v>282</v>
      </c>
    </row>
    <row r="348" spans="1:9">
      <c r="B348" s="130"/>
      <c r="C348" s="117" t="str">
        <f>IF(B348&lt;&gt;0,"Answer Required","N/A")</f>
        <v>N/A</v>
      </c>
    </row>
    <row r="349" spans="1:9">
      <c r="B349" s="130"/>
      <c r="C349" s="117" t="str">
        <f t="shared" ref="C349:C351" si="0">IF(B349&lt;&gt;0,"Answer Required","N/A")</f>
        <v>N/A</v>
      </c>
    </row>
    <row r="350" spans="1:9">
      <c r="B350" s="130"/>
      <c r="C350" s="117" t="str">
        <f t="shared" si="0"/>
        <v>N/A</v>
      </c>
    </row>
    <row r="351" spans="1:9">
      <c r="B351" s="130"/>
      <c r="C351" s="117" t="str">
        <f t="shared" si="0"/>
        <v>N/A</v>
      </c>
    </row>
    <row r="352" spans="1:9">
      <c r="A352" s="88" t="s">
        <v>657</v>
      </c>
      <c r="B352" s="115" t="s">
        <v>3419</v>
      </c>
      <c r="C352" s="120" t="s">
        <v>3458</v>
      </c>
    </row>
    <row r="353" spans="1:9" ht="16.5" customHeight="1">
      <c r="C353" s="120" t="s">
        <v>3459</v>
      </c>
    </row>
    <row r="354" spans="1:9">
      <c r="A354" s="9"/>
      <c r="C354" s="117" t="str">
        <f>IF(A352="YES","Answer Required","N/A")</f>
        <v>N/A</v>
      </c>
    </row>
    <row r="355" spans="1:9">
      <c r="A355" s="88" t="s">
        <v>657</v>
      </c>
      <c r="B355" s="400" t="s">
        <v>3420</v>
      </c>
      <c r="C355" s="120" t="s">
        <v>2840</v>
      </c>
    </row>
    <row r="356" spans="1:9" ht="15">
      <c r="A356" s="385"/>
      <c r="C356" s="120" t="s">
        <v>2841</v>
      </c>
    </row>
    <row r="357" spans="1:9" ht="15">
      <c r="A357" s="385"/>
      <c r="C357" s="120" t="s">
        <v>2842</v>
      </c>
    </row>
    <row r="358" spans="1:9" ht="15">
      <c r="A358" s="385"/>
      <c r="C358" s="120" t="s">
        <v>2843</v>
      </c>
    </row>
    <row r="359" spans="1:9" ht="15">
      <c r="A359" s="385"/>
      <c r="C359" s="120" t="s">
        <v>2844</v>
      </c>
    </row>
    <row r="360" spans="1:9" ht="15">
      <c r="A360" s="385"/>
      <c r="C360" s="117" t="str">
        <f>IF(A355="YES","Answer Required","N/A")</f>
        <v>N/A</v>
      </c>
    </row>
    <row r="362" spans="1:9">
      <c r="A362" s="191" t="s">
        <v>3421</v>
      </c>
    </row>
    <row r="363" spans="1:9" ht="93" customHeight="1">
      <c r="A363" s="71" t="s">
        <v>657</v>
      </c>
      <c r="B363" s="651">
        <v>16</v>
      </c>
      <c r="C363" s="751" t="s">
        <v>3460</v>
      </c>
    </row>
    <row r="364" spans="1:9" ht="15">
      <c r="A364" s="385"/>
      <c r="C364" s="117" t="str">
        <f>IF(A363="YES","Answer Required","N/A")</f>
        <v>N/A</v>
      </c>
      <c r="I364" s="438"/>
    </row>
    <row r="366" spans="1:9" ht="15.6" customHeight="1">
      <c r="A366" s="300" t="s">
        <v>3422</v>
      </c>
    </row>
    <row r="367" spans="1:9" ht="117" customHeight="1">
      <c r="A367" s="1135" t="s">
        <v>3603</v>
      </c>
      <c r="B367" s="1136"/>
      <c r="C367" s="1137"/>
    </row>
    <row r="368" spans="1:9" ht="131.25" customHeight="1">
      <c r="A368" s="71" t="s">
        <v>657</v>
      </c>
      <c r="B368" s="651" t="s">
        <v>3423</v>
      </c>
      <c r="C368" s="751" t="s">
        <v>3435</v>
      </c>
    </row>
    <row r="369" spans="1:9" ht="226.5" customHeight="1">
      <c r="A369" s="88" t="str">
        <f>IF($A$368="Yes","Answer Required","N/A")</f>
        <v>N/A</v>
      </c>
      <c r="B369" s="651" t="s">
        <v>3424</v>
      </c>
      <c r="C369" s="392" t="s">
        <v>3436</v>
      </c>
      <c r="I369" s="438"/>
    </row>
    <row r="370" spans="1:9" ht="15">
      <c r="A370" s="385"/>
      <c r="C370" s="117" t="str">
        <f>IF(A369="YES","Answer Required","N/A")</f>
        <v>N/A</v>
      </c>
      <c r="I370" s="438"/>
    </row>
    <row r="371" spans="1:9" ht="118.5" customHeight="1">
      <c r="A371" s="88" t="str">
        <f>IF($A$368="Yes","Answer Required","N/A")</f>
        <v>N/A</v>
      </c>
      <c r="B371" s="651" t="s">
        <v>3425</v>
      </c>
      <c r="C371" s="392" t="s">
        <v>3438</v>
      </c>
      <c r="I371" s="438"/>
    </row>
    <row r="372" spans="1:9" ht="86.25" customHeight="1">
      <c r="A372" s="88" t="str">
        <f>IF($A$368="Yes","Answer Required","N/A")</f>
        <v>N/A</v>
      </c>
      <c r="B372" s="651" t="s">
        <v>3426</v>
      </c>
      <c r="C372" s="392" t="s">
        <v>3430</v>
      </c>
      <c r="I372" s="438"/>
    </row>
    <row r="373" spans="1:9" ht="15">
      <c r="A373" s="385"/>
      <c r="C373" s="117" t="str">
        <f>IF(A372="YES","Answer Required","N/A")</f>
        <v>N/A</v>
      </c>
      <c r="I373" s="438"/>
    </row>
    <row r="374" spans="1:9" ht="103.5" customHeight="1">
      <c r="A374" s="71" t="s">
        <v>657</v>
      </c>
      <c r="B374" s="651" t="s">
        <v>3427</v>
      </c>
      <c r="C374" s="392" t="s">
        <v>3429</v>
      </c>
    </row>
    <row r="375" spans="1:9">
      <c r="C375" s="117" t="str">
        <f>IF(A374="YES","Answer Required","N/A")</f>
        <v>N/A</v>
      </c>
    </row>
    <row r="377" spans="1:9">
      <c r="A377" s="1076" t="s">
        <v>3437</v>
      </c>
      <c r="B377" s="1076"/>
      <c r="C377" s="1076"/>
    </row>
    <row r="378" spans="1:9" ht="51">
      <c r="A378" s="71" t="s">
        <v>657</v>
      </c>
      <c r="B378" s="756">
        <v>18</v>
      </c>
      <c r="C378" s="757" t="s">
        <v>3604</v>
      </c>
    </row>
    <row r="379" spans="1:9">
      <c r="A379" s="777"/>
      <c r="B379" s="778"/>
      <c r="C379" s="117" t="str">
        <f>IF(A378="YES","Answer Required","N/A")</f>
        <v>N/A</v>
      </c>
    </row>
    <row r="382" spans="1:9">
      <c r="A382" s="191" t="s">
        <v>3586</v>
      </c>
      <c r="C382" s="775"/>
    </row>
    <row r="383" spans="1:9" ht="69" customHeight="1">
      <c r="A383" s="71" t="s">
        <v>657</v>
      </c>
      <c r="B383" s="776">
        <v>19</v>
      </c>
      <c r="C383" s="120" t="s">
        <v>3606</v>
      </c>
    </row>
    <row r="384" spans="1:9" ht="15.75">
      <c r="A384" s="267"/>
      <c r="B384" s="416"/>
      <c r="C384" s="117" t="str">
        <f>IF(A383="YES","Answer Required","N/A")</f>
        <v>N/A</v>
      </c>
    </row>
    <row r="385" spans="3:3">
      <c r="C385" s="775"/>
    </row>
  </sheetData>
  <sheetProtection algorithmName="SHA-512" hashValue="LVdl3/zXQxNP0PPwOpn5+ChZ9jE7opHxvB1prqjSeNvSMUnPfI94gZ9avHmRnT5um5d8q0tfhWFEFObYd9maSQ==" saltValue="nZ5MV3DI8EyBEqs4VLcv3A==" spinCount="100000" sheet="1" objects="1" scenarios="1"/>
  <dataConsolidate/>
  <customSheetViews>
    <customSheetView guid="{354F272F-821B-473B-9CC5-4001AD879606}" hiddenRows="1" hiddenColumns="1" topLeftCell="A305">
      <selection activeCell="B308" sqref="B308"/>
      <rowBreaks count="2" manualBreakCount="2">
        <brk id="278" max="2" man="1"/>
        <brk id="336" max="2" man="1"/>
      </rowBreaks>
      <pageMargins left="0.77" right="0.18" top="0.76" bottom="0.46" header="0.28999999999999998" footer="0.17"/>
      <pageSetup scale="66" fitToHeight="7" orientation="portrait"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58">
    <mergeCell ref="A377:C377"/>
    <mergeCell ref="A304:C304"/>
    <mergeCell ref="A155:B155"/>
    <mergeCell ref="A156:B156"/>
    <mergeCell ref="A163:C163"/>
    <mergeCell ref="A282:C282"/>
    <mergeCell ref="A283:C283"/>
    <mergeCell ref="A190:B190"/>
    <mergeCell ref="A191:B191"/>
    <mergeCell ref="A165:C165"/>
    <mergeCell ref="A166:C166"/>
    <mergeCell ref="A169:B169"/>
    <mergeCell ref="A164:C164"/>
    <mergeCell ref="A188:B188"/>
    <mergeCell ref="A189:B189"/>
    <mergeCell ref="A367:C367"/>
    <mergeCell ref="B1:C1"/>
    <mergeCell ref="B2:C2"/>
    <mergeCell ref="B3:C3"/>
    <mergeCell ref="B4:C4"/>
    <mergeCell ref="A46:C46"/>
    <mergeCell ref="B16:C16"/>
    <mergeCell ref="B17:C17"/>
    <mergeCell ref="B18:C18"/>
    <mergeCell ref="B19:C19"/>
    <mergeCell ref="B20:C20"/>
    <mergeCell ref="B21:C21"/>
    <mergeCell ref="B5:C5"/>
    <mergeCell ref="B6:C6"/>
    <mergeCell ref="B8:C8"/>
    <mergeCell ref="A23:C23"/>
    <mergeCell ref="A56:B56"/>
    <mergeCell ref="A57:B57"/>
    <mergeCell ref="A58:B58"/>
    <mergeCell ref="A60:B60"/>
    <mergeCell ref="A61:B61"/>
    <mergeCell ref="A151:B151"/>
    <mergeCell ref="A152:B152"/>
    <mergeCell ref="A150:B150"/>
    <mergeCell ref="A74:B74"/>
    <mergeCell ref="A77:B77"/>
    <mergeCell ref="A80:B80"/>
    <mergeCell ref="A81:B81"/>
    <mergeCell ref="A112:C112"/>
    <mergeCell ref="A78:B78"/>
    <mergeCell ref="A62:B62"/>
    <mergeCell ref="A63:B63"/>
    <mergeCell ref="A64:B64"/>
    <mergeCell ref="A65:B65"/>
    <mergeCell ref="A66:B66"/>
    <mergeCell ref="A340:C340"/>
    <mergeCell ref="A344:C344"/>
    <mergeCell ref="A305:C305"/>
    <mergeCell ref="A306:C306"/>
    <mergeCell ref="A153:B153"/>
    <mergeCell ref="A154:B154"/>
    <mergeCell ref="A221:C221"/>
    <mergeCell ref="A202:C202"/>
  </mergeCells>
  <phoneticPr fontId="40" type="noConversion"/>
  <conditionalFormatting sqref="A72:A84">
    <cfRule type="cellIs" dxfId="94" priority="66" operator="equal">
      <formula>"Answer Required"</formula>
    </cfRule>
  </conditionalFormatting>
  <conditionalFormatting sqref="A123">
    <cfRule type="cellIs" dxfId="93" priority="201" operator="equal">
      <formula>"Answer Required"</formula>
    </cfRule>
  </conditionalFormatting>
  <conditionalFormatting sqref="A134 A138 A142 A145">
    <cfRule type="cellIs" dxfId="92" priority="356" operator="equal">
      <formula>"Answer Required"</formula>
    </cfRule>
  </conditionalFormatting>
  <conditionalFormatting sqref="A222">
    <cfRule type="cellIs" dxfId="91" priority="192" operator="equal">
      <formula>"Answer Required"</formula>
    </cfRule>
    <cfRule type="cellIs" dxfId="90" priority="193" operator="equal">
      <formula>"Error"</formula>
    </cfRule>
  </conditionalFormatting>
  <conditionalFormatting sqref="A240">
    <cfRule type="cellIs" dxfId="89" priority="122" operator="equal">
      <formula>"Answer Required"</formula>
    </cfRule>
    <cfRule type="cellIs" dxfId="88" priority="123" operator="equal">
      <formula>"Error"</formula>
    </cfRule>
  </conditionalFormatting>
  <conditionalFormatting sqref="A261">
    <cfRule type="cellIs" dxfId="87" priority="53" operator="equal">
      <formula>"Answer Required"</formula>
    </cfRule>
  </conditionalFormatting>
  <conditionalFormatting sqref="A263:A266">
    <cfRule type="cellIs" dxfId="86" priority="56" operator="equal">
      <formula>"Answer Required"</formula>
    </cfRule>
  </conditionalFormatting>
  <conditionalFormatting sqref="A264">
    <cfRule type="cellIs" dxfId="85" priority="57" operator="equal">
      <formula>"Error"</formula>
    </cfRule>
  </conditionalFormatting>
  <conditionalFormatting sqref="A269:A274">
    <cfRule type="cellIs" dxfId="84" priority="54" operator="equal">
      <formula>"Answer Required"</formula>
    </cfRule>
  </conditionalFormatting>
  <conditionalFormatting sqref="A272">
    <cfRule type="cellIs" dxfId="83" priority="55" operator="equal">
      <formula>"Error"</formula>
    </cfRule>
  </conditionalFormatting>
  <conditionalFormatting sqref="A307">
    <cfRule type="cellIs" dxfId="82" priority="199" operator="equal">
      <formula>"Answer Required"</formula>
    </cfRule>
  </conditionalFormatting>
  <conditionalFormatting sqref="A313">
    <cfRule type="cellIs" dxfId="81" priority="196" operator="equal">
      <formula>"Answer Required"</formula>
    </cfRule>
  </conditionalFormatting>
  <conditionalFormatting sqref="A316">
    <cfRule type="cellIs" dxfId="80" priority="195" operator="equal">
      <formula>"Answer Required"</formula>
    </cfRule>
  </conditionalFormatting>
  <conditionalFormatting sqref="A318">
    <cfRule type="cellIs" dxfId="79" priority="59" operator="equal">
      <formula>"Answer Required"</formula>
    </cfRule>
  </conditionalFormatting>
  <conditionalFormatting sqref="A321:A322">
    <cfRule type="cellIs" dxfId="78" priority="64" operator="equal">
      <formula>"Answer Required"</formula>
    </cfRule>
  </conditionalFormatting>
  <conditionalFormatting sqref="A329">
    <cfRule type="cellIs" dxfId="77" priority="63" operator="equal">
      <formula>"Answer Required"</formula>
    </cfRule>
  </conditionalFormatting>
  <conditionalFormatting sqref="A332">
    <cfRule type="cellIs" dxfId="76" priority="111" operator="equal">
      <formula>"Answer Required"</formula>
    </cfRule>
  </conditionalFormatting>
  <conditionalFormatting sqref="A335">
    <cfRule type="cellIs" dxfId="75" priority="61" operator="equal">
      <formula>"Answer Required"</formula>
    </cfRule>
  </conditionalFormatting>
  <conditionalFormatting sqref="A341">
    <cfRule type="cellIs" dxfId="74" priority="37" operator="equal">
      <formula>"Answer Required"</formula>
    </cfRule>
  </conditionalFormatting>
  <conditionalFormatting sqref="A345">
    <cfRule type="cellIs" dxfId="73" priority="45" operator="equal">
      <formula>"Answer Required"</formula>
    </cfRule>
  </conditionalFormatting>
  <conditionalFormatting sqref="A352">
    <cfRule type="cellIs" dxfId="72" priority="44" operator="equal">
      <formula>"Answer Required"</formula>
    </cfRule>
  </conditionalFormatting>
  <conditionalFormatting sqref="A355">
    <cfRule type="cellIs" dxfId="71" priority="43" operator="equal">
      <formula>"Answer Required"</formula>
    </cfRule>
  </conditionalFormatting>
  <conditionalFormatting sqref="A363">
    <cfRule type="cellIs" dxfId="70" priority="29" operator="equal">
      <formula>"Answer Required"</formula>
    </cfRule>
  </conditionalFormatting>
  <conditionalFormatting sqref="A368:A369">
    <cfRule type="cellIs" dxfId="69" priority="23" operator="equal">
      <formula>"Answer Required"</formula>
    </cfRule>
  </conditionalFormatting>
  <conditionalFormatting sqref="A371:A372">
    <cfRule type="cellIs" dxfId="68" priority="22" operator="equal">
      <formula>"Answer Required"</formula>
    </cfRule>
  </conditionalFormatting>
  <conditionalFormatting sqref="A374">
    <cfRule type="cellIs" dxfId="67" priority="33" operator="equal">
      <formula>"Answer Required"</formula>
    </cfRule>
  </conditionalFormatting>
  <conditionalFormatting sqref="A378">
    <cfRule type="cellIs" dxfId="66" priority="17" operator="equal">
      <formula>"Error"</formula>
    </cfRule>
    <cfRule type="cellIs" dxfId="65" priority="16" operator="equal">
      <formula>"Answer Required"</formula>
    </cfRule>
  </conditionalFormatting>
  <conditionalFormatting sqref="A383">
    <cfRule type="cellIs" dxfId="64" priority="3" operator="equal">
      <formula>"Error"</formula>
    </cfRule>
    <cfRule type="cellIs" dxfId="63" priority="2" operator="equal">
      <formula>"Answer Required"</formula>
    </cfRule>
  </conditionalFormatting>
  <conditionalFormatting sqref="B237:B239 B258:B260 B269:B271 B279:B281">
    <cfRule type="cellIs" dxfId="62" priority="343" operator="equal">
      <formula>"Error"</formula>
    </cfRule>
  </conditionalFormatting>
  <conditionalFormatting sqref="B16:C21 A26 A30 A36 A41 A47 A52 C74:C82 A106 A113 A126 A130 A159 A168 A170:A173 A175 A177:A178 A180 A182:A185 A187 A192 A194 A196 A198 A203:A208 A211:A216 C264 C272 A279:A281 A284 A294 A302">
    <cfRule type="cellIs" dxfId="61" priority="368" operator="equal">
      <formula>"Answer Required"</formula>
    </cfRule>
  </conditionalFormatting>
  <conditionalFormatting sqref="C28">
    <cfRule type="cellIs" dxfId="60" priority="109" operator="equal">
      <formula>"Answer Required"</formula>
    </cfRule>
  </conditionalFormatting>
  <conditionalFormatting sqref="C32">
    <cfRule type="cellIs" dxfId="59" priority="108" operator="equal">
      <formula>"Answer Required"</formula>
    </cfRule>
  </conditionalFormatting>
  <conditionalFormatting sqref="C38">
    <cfRule type="cellIs" dxfId="58" priority="107" operator="equal">
      <formula>"Answer Required"</formula>
    </cfRule>
  </conditionalFormatting>
  <conditionalFormatting sqref="C43">
    <cfRule type="cellIs" dxfId="57" priority="106" operator="equal">
      <formula>"Answer Required"</formula>
    </cfRule>
  </conditionalFormatting>
  <conditionalFormatting sqref="C49">
    <cfRule type="cellIs" dxfId="56" priority="105" operator="equal">
      <formula>"Answer Required"</formula>
    </cfRule>
  </conditionalFormatting>
  <conditionalFormatting sqref="C54">
    <cfRule type="cellIs" dxfId="55" priority="104" operator="equal">
      <formula>"Answer Required"</formula>
    </cfRule>
  </conditionalFormatting>
  <conditionalFormatting sqref="C84">
    <cfRule type="cellIs" dxfId="54" priority="113" operator="equal">
      <formula>"Answer Required"</formula>
    </cfRule>
  </conditionalFormatting>
  <conditionalFormatting sqref="C98:C100">
    <cfRule type="cellIs" dxfId="53" priority="200" operator="equal">
      <formula>"Answer Required"</formula>
    </cfRule>
  </conditionalFormatting>
  <conditionalFormatting sqref="C108">
    <cfRule type="cellIs" dxfId="52" priority="103" operator="equal">
      <formula>"Answer Required"</formula>
    </cfRule>
  </conditionalFormatting>
  <conditionalFormatting sqref="C114">
    <cfRule type="cellIs" dxfId="51" priority="102" operator="equal">
      <formula>"Answer Required"</formula>
    </cfRule>
  </conditionalFormatting>
  <conditionalFormatting sqref="C127">
    <cfRule type="cellIs" dxfId="50" priority="101" operator="equal">
      <formula>"Answer Required"</formula>
    </cfRule>
  </conditionalFormatting>
  <conditionalFormatting sqref="C131">
    <cfRule type="cellIs" dxfId="49" priority="100" operator="equal">
      <formula>"Answer Required"</formula>
    </cfRule>
  </conditionalFormatting>
  <conditionalFormatting sqref="C135">
    <cfRule type="cellIs" dxfId="48" priority="99" operator="equal">
      <formula>"Answer Required"</formula>
    </cfRule>
  </conditionalFormatting>
  <conditionalFormatting sqref="C139">
    <cfRule type="cellIs" dxfId="47" priority="98" operator="equal">
      <formula>"Answer Required"</formula>
    </cfRule>
  </conditionalFormatting>
  <conditionalFormatting sqref="C146">
    <cfRule type="cellIs" dxfId="46" priority="97" operator="equal">
      <formula>"Answer Required"</formula>
    </cfRule>
  </conditionalFormatting>
  <conditionalFormatting sqref="C161">
    <cfRule type="cellIs" dxfId="45" priority="58" operator="equal">
      <formula>"Answer Required"</formula>
    </cfRule>
  </conditionalFormatting>
  <conditionalFormatting sqref="C169">
    <cfRule type="cellIs" dxfId="44" priority="67" operator="equal">
      <formula>"Answer Required"</formula>
    </cfRule>
  </conditionalFormatting>
  <conditionalFormatting sqref="C176">
    <cfRule type="cellIs" dxfId="43" priority="95" operator="equal">
      <formula>"Answer Required"</formula>
    </cfRule>
  </conditionalFormatting>
  <conditionalFormatting sqref="C179">
    <cfRule type="cellIs" dxfId="42" priority="94" operator="equal">
      <formula>"Answer Required"</formula>
    </cfRule>
  </conditionalFormatting>
  <conditionalFormatting sqref="C188:C191">
    <cfRule type="cellIs" dxfId="41" priority="93" operator="equal">
      <formula>"Answer Required"</formula>
    </cfRule>
  </conditionalFormatting>
  <conditionalFormatting sqref="C193">
    <cfRule type="cellIs" dxfId="40" priority="92" operator="equal">
      <formula>"Answer Required"</formula>
    </cfRule>
  </conditionalFormatting>
  <conditionalFormatting sqref="C195">
    <cfRule type="cellIs" dxfId="39" priority="91" operator="equal">
      <formula>"Answer Required"</formula>
    </cfRule>
  </conditionalFormatting>
  <conditionalFormatting sqref="C197">
    <cfRule type="cellIs" dxfId="38" priority="90" operator="equal">
      <formula>"Answer Required"</formula>
    </cfRule>
  </conditionalFormatting>
  <conditionalFormatting sqref="C199">
    <cfRule type="cellIs" dxfId="37" priority="89" operator="equal">
      <formula>"Answer Required"</formula>
    </cfRule>
  </conditionalFormatting>
  <conditionalFormatting sqref="C209">
    <cfRule type="cellIs" dxfId="36" priority="88" operator="equal">
      <formula>"Answer Required"</formula>
    </cfRule>
  </conditionalFormatting>
  <conditionalFormatting sqref="C217">
    <cfRule type="cellIs" dxfId="35" priority="87" operator="equal">
      <formula>"Answer Required"</formula>
    </cfRule>
  </conditionalFormatting>
  <conditionalFormatting sqref="C262">
    <cfRule type="cellIs" dxfId="34" priority="74" operator="equal">
      <formula>"Answer Required"</formula>
    </cfRule>
  </conditionalFormatting>
  <conditionalFormatting sqref="C303">
    <cfRule type="cellIs" dxfId="33" priority="72" operator="equal">
      <formula>"Answer Required"</formula>
    </cfRule>
  </conditionalFormatting>
  <conditionalFormatting sqref="C310:C312">
    <cfRule type="containsText" dxfId="32" priority="80" operator="containsText" text="Answer Required">
      <formula>NOT(ISERROR(SEARCH("Answer Required",C310)))</formula>
    </cfRule>
  </conditionalFormatting>
  <conditionalFormatting sqref="C317 C320">
    <cfRule type="containsText" dxfId="31" priority="78" operator="containsText" text="Answer Required">
      <formula>NOT(ISERROR(SEARCH("Answer Required",C317)))</formula>
    </cfRule>
  </conditionalFormatting>
  <conditionalFormatting sqref="C324">
    <cfRule type="containsText" dxfId="30" priority="77" operator="containsText" text="Answer Required">
      <formula>NOT(ISERROR(SEARCH("Answer Required",C324)))</formula>
    </cfRule>
  </conditionalFormatting>
  <conditionalFormatting sqref="C328">
    <cfRule type="containsText" dxfId="29" priority="76" operator="containsText" text="Answer Required">
      <formula>NOT(ISERROR(SEARCH("Answer Required",C328)))</formula>
    </cfRule>
  </conditionalFormatting>
  <conditionalFormatting sqref="C331">
    <cfRule type="containsText" dxfId="28" priority="62" operator="containsText" text="Answer Required">
      <formula>NOT(ISERROR(SEARCH("Answer Required",C331)))</formula>
    </cfRule>
  </conditionalFormatting>
  <conditionalFormatting sqref="C334">
    <cfRule type="containsText" dxfId="27" priority="75" operator="containsText" text="Answer Required">
      <formula>NOT(ISERROR(SEARCH("Answer Required",C334)))</formula>
    </cfRule>
  </conditionalFormatting>
  <conditionalFormatting sqref="C337">
    <cfRule type="containsText" dxfId="26" priority="60" operator="containsText" text="Answer Required">
      <formula>NOT(ISERROR(SEARCH("Answer Required",C337)))</formula>
    </cfRule>
  </conditionalFormatting>
  <conditionalFormatting sqref="C342">
    <cfRule type="containsText" dxfId="25" priority="36" operator="containsText" text="Answer Required">
      <formula>NOT(ISERROR(SEARCH("Answer Required",C342)))</formula>
    </cfRule>
  </conditionalFormatting>
  <conditionalFormatting sqref="C347:C351">
    <cfRule type="containsText" dxfId="24" priority="38" operator="containsText" text="Answer Required">
      <formula>NOT(ISERROR(SEARCH("Answer Required",C347)))</formula>
    </cfRule>
  </conditionalFormatting>
  <conditionalFormatting sqref="C354">
    <cfRule type="containsText" dxfId="23" priority="51" operator="containsText" text="Answer Required">
      <formula>NOT(ISERROR(SEARCH("Answer Required",C354)))</formula>
    </cfRule>
  </conditionalFormatting>
  <conditionalFormatting sqref="C356:C358">
    <cfRule type="cellIs" dxfId="22" priority="50" operator="equal">
      <formula>"Answer Required"</formula>
    </cfRule>
  </conditionalFormatting>
  <conditionalFormatting sqref="C360">
    <cfRule type="containsText" dxfId="21" priority="49" operator="containsText" text="Answer Required">
      <formula>NOT(ISERROR(SEARCH("Answer Required",C360)))</formula>
    </cfRule>
  </conditionalFormatting>
  <conditionalFormatting sqref="C364">
    <cfRule type="containsText" dxfId="20" priority="18" operator="containsText" text="Answer Required">
      <formula>NOT(ISERROR(SEARCH("Answer Required",C364)))</formula>
    </cfRule>
  </conditionalFormatting>
  <conditionalFormatting sqref="C370">
    <cfRule type="containsText" dxfId="19" priority="27" operator="containsText" text="Answer Required">
      <formula>NOT(ISERROR(SEARCH("Answer Required",C370)))</formula>
    </cfRule>
  </conditionalFormatting>
  <conditionalFormatting sqref="C373">
    <cfRule type="containsText" dxfId="18" priority="24" operator="containsText" text="Answer Required">
      <formula>NOT(ISERROR(SEARCH("Answer Required",C373)))</formula>
    </cfRule>
  </conditionalFormatting>
  <conditionalFormatting sqref="C375">
    <cfRule type="containsText" dxfId="17" priority="19" operator="containsText" text="Answer Required">
      <formula>NOT(ISERROR(SEARCH("Answer Required",C375)))</formula>
    </cfRule>
  </conditionalFormatting>
  <conditionalFormatting sqref="C379">
    <cfRule type="containsText" dxfId="16" priority="15" operator="containsText" text="Answer Required">
      <formula>NOT(ISERROR(SEARCH("Answer Required",C379)))</formula>
    </cfRule>
  </conditionalFormatting>
  <conditionalFormatting sqref="C382">
    <cfRule type="containsText" dxfId="15" priority="4" operator="containsText" text="Answer Required">
      <formula>NOT(ISERROR(SEARCH("Answer Required",C382)))</formula>
    </cfRule>
  </conditionalFormatting>
  <conditionalFormatting sqref="C384:C385">
    <cfRule type="containsText" dxfId="14" priority="1" operator="containsText" text="Answer Required">
      <formula>NOT(ISERROR(SEARCH("Answer Required",C384)))</formula>
    </cfRule>
  </conditionalFormatting>
  <dataValidations xWindow="591" yWindow="655" count="27">
    <dataValidation type="whole" allowBlank="1" showInputMessage="1" showErrorMessage="1" error="Enter a whole number." sqref="B286:B291 B296:B299 B275:B278 C57:C58 B225:B236 B324 B267:B268 B348:B351 C151 C61 C63:C66 B90:B96 B310:B312 B98:B100 B243:B257" xr:uid="{00000000-0002-0000-0D00-000000000000}">
      <formula1>-9999999999999</formula1>
      <formula2>9999999999999</formula2>
    </dataValidation>
    <dataValidation type="list" allowBlank="1" showInputMessage="1" showErrorMessage="1" error="Use the drop-down list to enter yes, no, or n/a" sqref="A302 A130 A134 A138 A126 A142 A145 A175 A170:A173 A177:A178 A182:A185 A187 A192 A196 A198 A204:A208 A212:A216 B19:C20 A123" xr:uid="{00000000-0002-0000-0D00-000001000000}">
      <formula1>$L$1:$L$3</formula1>
    </dataValidation>
    <dataValidation type="list" allowBlank="1" showInputMessage="1" showErrorMessage="1" error="Use the drop-down list to enter yes or no" sqref="A294 A284 A83 A26 A30 A41 A47 A52 A72 A106 A159 A168 A180 A194 A203 A211 A113 A368 A374 A363 A378 A383" xr:uid="{00000000-0002-0000-0D00-000002000000}">
      <formula1>$L$1:$L$2</formula1>
    </dataValidation>
    <dataValidation allowBlank="1" showInputMessage="1" showErrorMessage="1" error="Use the drop-down list to enter yes or no." sqref="B274" xr:uid="{00000000-0002-0000-0D00-000003000000}"/>
    <dataValidation type="list" allowBlank="1" showInputMessage="1" showErrorMessage="1" error="Use the drop-down list to enter yes,no" sqref="A36" xr:uid="{00000000-0002-0000-0D00-000004000000}">
      <formula1>$L$1:$L$2</formula1>
    </dataValidation>
    <dataValidation allowBlank="1" showInputMessage="1" showErrorMessage="1" error="Enter Yes or No." sqref="B237:B239 B270:B271" xr:uid="{00000000-0002-0000-0D00-000005000000}"/>
    <dataValidation allowBlank="1" showErrorMessage="1" prompt="_x000a_" sqref="B101:C101" xr:uid="{00000000-0002-0000-0D00-000006000000}"/>
    <dataValidation type="whole" allowBlank="1" showInputMessage="1" showErrorMessage="1" error="Enter whole number." sqref="C153" xr:uid="{00000000-0002-0000-0D00-000007000000}">
      <formula1>-1E+27</formula1>
      <formula2>1E+27</formula2>
    </dataValidation>
    <dataValidation allowBlank="1" showInputMessage="1" showErrorMessage="1" error="Use the drop-down list to enter yes, no or N/A." sqref="A124:A125 A143:A144" xr:uid="{00000000-0002-0000-0D00-000008000000}"/>
    <dataValidation type="whole" allowBlank="1" showInputMessage="1" showErrorMessage="1" error="Enter whole number." sqref="C62" xr:uid="{00000000-0002-0000-0D00-000009000000}">
      <formula1>-10000000000000</formula1>
      <formula2>100000000000000</formula2>
    </dataValidation>
    <dataValidation allowBlank="1" sqref="C32:C33 C28:C29 C38 C43 C49 C54" xr:uid="{00000000-0002-0000-0D00-00000A000000}"/>
    <dataValidation type="whole" allowBlank="1" showInputMessage="1" showErrorMessage="1" error="Please enter a whole number" sqref="C75:C78" xr:uid="{00000000-0002-0000-0D00-00000B000000}">
      <formula1>-9999999999999</formula1>
      <formula2>9999999999999</formula2>
    </dataValidation>
    <dataValidation type="whole" allowBlank="1" showInputMessage="1" showErrorMessage="1" error="Please enter a whole number." sqref="B97" xr:uid="{00000000-0002-0000-0D00-00000C000000}">
      <formula1>-9999999999999</formula1>
      <formula2>9999999999999</formula2>
    </dataValidation>
    <dataValidation type="list" allowBlank="1" showInputMessage="1" showErrorMessage="1" error="Use the drop-down list to enter the method used to determine value" sqref="B16:C16" xr:uid="{00000000-0002-0000-0D00-00000D000000}">
      <formula1>$G$1:$G$5</formula1>
    </dataValidation>
    <dataValidation type="list" allowBlank="1" showInputMessage="1" showErrorMessage="1" error="Use the drop-down list to enter the cost used to determine value" sqref="B17:C17" xr:uid="{00000000-0002-0000-0D00-00000E000000}">
      <formula1>$H$1:$H$5</formula1>
    </dataValidation>
    <dataValidation type="list" allowBlank="1" showInputMessage="1" showErrorMessage="1" error="Use the drop-down list to enter yes, no, or n/a_x000a_" sqref="B21:C21" xr:uid="{00000000-0002-0000-0D00-00000F000000}">
      <formula1>$L$1:$L$3</formula1>
    </dataValidation>
    <dataValidation type="list" allowBlank="1" showInputMessage="1" showErrorMessage="1" sqref="A316 A313" xr:uid="{00000000-0002-0000-0D00-000010000000}">
      <formula1>$L$1:$L$2</formula1>
    </dataValidation>
    <dataValidation type="list" allowBlank="1" showInputMessage="1" showErrorMessage="1" error="Select &quot;Yes&quot;, &quot;No&quot;, or &quot;N/A&quot; using drop-down list." sqref="A322" xr:uid="{00000000-0002-0000-0D00-000011000000}">
      <formula1>$L$1:$L$3</formula1>
    </dataValidation>
    <dataValidation type="list" allowBlank="1" showInputMessage="1" showErrorMessage="1" error="Please use the drop-down to select Yes or No." sqref="A222 A240 A264 A272" xr:uid="{00000000-0002-0000-0D00-000012000000}">
      <formula1>$L$1:$L$2</formula1>
    </dataValidation>
    <dataValidation type="whole" allowBlank="1" showInputMessage="1" showErrorMessage="1" error="Enter a negative number." sqref="C152" xr:uid="{00000000-0002-0000-0D00-000013000000}">
      <formula1>-9999999999999</formula1>
      <formula2>0</formula2>
    </dataValidation>
    <dataValidation type="whole" allowBlank="1" showInputMessage="1" showErrorMessage="1" error="Enter a whole number" sqref="C189" xr:uid="{00000000-0002-0000-0D00-000014000000}">
      <formula1>-9999999999999</formula1>
      <formula2>9999999999999</formula2>
    </dataValidation>
    <dataValidation type="list" allowBlank="1" showInputMessage="1" showErrorMessage="1" error="Use the drop-down list to enter Yes, No, or N/A" sqref="A329 A335 A369 A371:A372" xr:uid="{00000000-0002-0000-0D00-000015000000}">
      <formula1>$L$1:$L$3</formula1>
    </dataValidation>
    <dataValidation type="list" allowBlank="1" showInputMessage="1" showErrorMessage="1" error="Use the drop-down list to enter yes or no." sqref="B242" xr:uid="{00000000-0002-0000-0D00-000016000000}">
      <formula1>$I$1:$I$3</formula1>
    </dataValidation>
    <dataValidation type="list" allowBlank="1" showInputMessage="1" showErrorMessage="1" error="Use the drop-down list to enter Yes, No, or N/A" sqref="A318" xr:uid="{00000000-0002-0000-0D00-000017000000}">
      <formula1>L1:L3</formula1>
    </dataValidation>
    <dataValidation type="list" allowBlank="1" showInputMessage="1" showErrorMessage="1" error="Use the drop-down list to enter Yes or No." sqref="A307 A321 A332 A355 A352 A345 A341" xr:uid="{00000000-0002-0000-0D00-000018000000}">
      <formula1>$L$1:$L$2</formula1>
    </dataValidation>
    <dataValidation type="list" allowBlank="1" showInputMessage="1" showErrorMessage="1" error="Please use drop-down list to select Yes, No, or N/A" sqref="A261" xr:uid="{00000000-0002-0000-0D00-000019000000}">
      <formula1>$L$1:$L$3</formula1>
    </dataValidation>
    <dataValidation type="list" allowBlank="1" showErrorMessage="1" error="Select appropriate agency/description of prepaid using drop-down list" sqref="C90:C96" xr:uid="{00000000-0002-0000-0D00-00001A000000}">
      <formula1>$I$1:$I$12</formula1>
    </dataValidation>
  </dataValidations>
  <pageMargins left="0.77" right="0.18" top="0.76" bottom="0.46" header="0.28999999999999998" footer="0.17"/>
  <pageSetup scale="61" fitToHeight="7" orientation="portrait"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rowBreaks count="5" manualBreakCount="5">
    <brk id="50" max="2" man="1"/>
    <brk id="84" max="2" man="1"/>
    <brk id="168" max="2" man="1"/>
    <brk id="280" max="2" man="1"/>
    <brk id="343" max="2" man="1"/>
  </rowBreaks>
  <ignoredErrors>
    <ignoredError sqref="C114 C135 C139 C176 C179 C188 C193 C195 C197 C262 C317 C320 C324 C328 C334 C303 C190:C191 A198 C199 C169 B3:C6 B16:C21 C98:C100" unlockedFormula="1"/>
  </ignoredErrors>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5"/>
  <sheetViews>
    <sheetView topLeftCell="A24" zoomScale="110" zoomScaleNormal="110" workbookViewId="0">
      <selection activeCell="G37" sqref="G37"/>
    </sheetView>
  </sheetViews>
  <sheetFormatPr defaultColWidth="9.140625" defaultRowHeight="12.75"/>
  <cols>
    <col min="1" max="1" width="34.5703125" style="191" customWidth="1"/>
    <col min="2" max="2" width="12.7109375" style="191" bestFit="1" customWidth="1"/>
    <col min="3" max="3" width="11.140625" style="191" customWidth="1"/>
    <col min="4" max="4" width="31.140625" style="191" customWidth="1"/>
    <col min="5" max="7" width="13" style="191" customWidth="1"/>
    <col min="8" max="8" width="31.42578125" style="191" customWidth="1"/>
    <col min="9" max="9" width="18.7109375" style="191" customWidth="1"/>
    <col min="10" max="10" width="14.140625" style="191" customWidth="1"/>
    <col min="11" max="11" width="11" style="191" customWidth="1"/>
    <col min="12" max="16384" width="9.140625" style="191"/>
  </cols>
  <sheetData>
    <row r="1" spans="1:12" s="808" customFormat="1" ht="12.75" customHeight="1">
      <c r="A1" s="253" t="s">
        <v>399</v>
      </c>
      <c r="B1" s="1141" t="str">
        <f>IF('Fund Financial Stmt Template'!E1="","",'Fund Financial Stmt Template'!E1)</f>
        <v/>
      </c>
      <c r="C1" s="1141"/>
      <c r="D1" s="1141"/>
      <c r="E1" s="1141"/>
      <c r="F1" s="1141"/>
      <c r="G1" s="807"/>
      <c r="H1" s="807"/>
      <c r="I1" s="807"/>
      <c r="J1" s="807"/>
      <c r="K1" s="273"/>
      <c r="L1" s="273"/>
    </row>
    <row r="2" spans="1:12" s="808" customFormat="1" ht="27.75" customHeight="1">
      <c r="A2" s="429" t="s">
        <v>362</v>
      </c>
      <c r="B2" s="1142" t="str">
        <f>'Fund Financial Stmt Template'!E2</f>
        <v/>
      </c>
      <c r="C2" s="1143"/>
      <c r="D2" s="1143"/>
      <c r="E2" s="1143"/>
      <c r="F2" s="1144"/>
      <c r="G2" s="807"/>
      <c r="H2" s="807"/>
      <c r="I2" s="807"/>
      <c r="J2" s="807"/>
      <c r="K2" s="374"/>
      <c r="L2" s="273"/>
    </row>
    <row r="3" spans="1:12" s="808" customFormat="1" ht="12.75" customHeight="1">
      <c r="A3" s="429" t="s">
        <v>419</v>
      </c>
      <c r="B3" s="1145" t="str">
        <f>IF('Fund Financial Stmt Template'!E3="","",'Fund Financial Stmt Template'!E3)</f>
        <v/>
      </c>
      <c r="C3" s="1145"/>
      <c r="D3" s="1145"/>
      <c r="E3" s="1145"/>
      <c r="F3" s="1145"/>
      <c r="G3" s="807"/>
      <c r="H3" s="807"/>
      <c r="I3" s="807"/>
      <c r="J3" s="807"/>
      <c r="K3" s="374"/>
      <c r="L3" s="273"/>
    </row>
    <row r="4" spans="1:12" s="808" customFormat="1" ht="12.75" customHeight="1">
      <c r="A4" s="429" t="s">
        <v>420</v>
      </c>
      <c r="B4" s="1146" t="str">
        <f>IF('Fund Financial Stmt Template'!E4="","",'Fund Financial Stmt Template'!E4)</f>
        <v/>
      </c>
      <c r="C4" s="1146"/>
      <c r="D4" s="1146"/>
      <c r="E4" s="1146"/>
      <c r="F4" s="1146"/>
      <c r="G4" s="807"/>
      <c r="H4" s="807"/>
      <c r="I4" s="807"/>
      <c r="J4" s="807"/>
      <c r="K4" s="273"/>
      <c r="L4" s="273"/>
    </row>
    <row r="5" spans="1:12" s="808" customFormat="1" ht="12.75" customHeight="1">
      <c r="A5" s="809" t="s">
        <v>421</v>
      </c>
      <c r="B5" s="1138" t="str">
        <f>IF('Fund Financial Stmt Template'!E5="","",'Fund Financial Stmt Template'!E5)</f>
        <v/>
      </c>
      <c r="C5" s="1138"/>
      <c r="D5" s="1138"/>
      <c r="E5" s="1138"/>
      <c r="F5" s="1138"/>
      <c r="G5" s="807"/>
      <c r="H5" s="807"/>
      <c r="I5" s="807"/>
      <c r="J5" s="807"/>
      <c r="K5" s="273"/>
      <c r="L5" s="273"/>
    </row>
    <row r="6" spans="1:12" s="808" customFormat="1" ht="12.75" customHeight="1">
      <c r="A6" s="429" t="s">
        <v>418</v>
      </c>
      <c r="B6" s="1139" t="str">
        <f>IF('Fund Financial Stmt Template'!E6="","",'Fund Financial Stmt Template'!E6)</f>
        <v/>
      </c>
      <c r="C6" s="1139"/>
      <c r="D6" s="1139"/>
      <c r="E6" s="1139"/>
      <c r="F6" s="1139"/>
      <c r="G6" s="810"/>
      <c r="H6" s="810"/>
      <c r="I6" s="810"/>
      <c r="J6" s="810"/>
      <c r="K6" s="273"/>
      <c r="L6" s="273"/>
    </row>
    <row r="7" spans="1:12" s="808" customFormat="1" ht="12.75" customHeight="1">
      <c r="A7" s="188"/>
      <c r="B7" s="811"/>
      <c r="C7" s="811"/>
      <c r="D7" s="811"/>
      <c r="E7" s="273"/>
      <c r="F7" s="273"/>
      <c r="G7" s="273"/>
      <c r="H7" s="273"/>
      <c r="I7" s="273"/>
      <c r="J7" s="273"/>
      <c r="K7" s="273"/>
      <c r="L7" s="273"/>
    </row>
    <row r="8" spans="1:12" s="808" customFormat="1" ht="12.75" customHeight="1">
      <c r="A8" s="429" t="s">
        <v>491</v>
      </c>
      <c r="B8" s="1140" t="str">
        <f>IF('Fund Financial Stmt Template'!E8="","",'Fund Financial Stmt Template'!E8)</f>
        <v/>
      </c>
      <c r="C8" s="1140"/>
      <c r="D8" s="1140"/>
      <c r="E8" s="1140"/>
      <c r="F8" s="1140"/>
      <c r="G8" s="807"/>
      <c r="H8" s="807"/>
      <c r="I8" s="807"/>
      <c r="J8" s="807"/>
      <c r="K8" s="374"/>
      <c r="L8" s="273"/>
    </row>
    <row r="9" spans="1:12" s="808" customFormat="1" ht="12.75" customHeight="1">
      <c r="A9" s="812"/>
      <c r="B9" s="811"/>
      <c r="C9" s="811"/>
      <c r="D9" s="811"/>
      <c r="E9" s="273"/>
      <c r="F9" s="273"/>
      <c r="G9" s="273"/>
      <c r="H9" s="273"/>
      <c r="I9" s="273"/>
      <c r="J9" s="273"/>
      <c r="K9" s="273"/>
      <c r="L9" s="273"/>
    </row>
    <row r="10" spans="1:12" s="808" customFormat="1" ht="12.6" customHeight="1">
      <c r="A10" s="188" t="s">
        <v>617</v>
      </c>
      <c r="B10" s="185"/>
      <c r="C10" s="185"/>
      <c r="D10" s="185"/>
      <c r="E10" s="185"/>
      <c r="F10" s="185"/>
      <c r="G10" s="185"/>
      <c r="H10" s="185"/>
      <c r="I10" s="185"/>
      <c r="L10" s="470"/>
    </row>
    <row r="11" spans="1:12" s="813" customFormat="1" ht="12.6" customHeight="1">
      <c r="A11" s="192" t="str">
        <f>'Tab 2-Receivables'!A11</f>
        <v>For the Year Ended June 30, 2024</v>
      </c>
      <c r="B11" s="185"/>
      <c r="C11" s="185"/>
      <c r="D11" s="185"/>
      <c r="E11" s="185"/>
      <c r="F11" s="185"/>
      <c r="G11" s="185"/>
      <c r="H11" s="185"/>
      <c r="I11" s="185"/>
      <c r="K11" s="814"/>
      <c r="L11" s="471"/>
    </row>
    <row r="12" spans="1:12" s="813" customFormat="1" ht="12.6" customHeight="1">
      <c r="A12" s="354"/>
      <c r="B12" s="815"/>
      <c r="C12" s="815"/>
      <c r="D12" s="815"/>
      <c r="E12" s="815"/>
      <c r="F12" s="815"/>
      <c r="G12" s="815"/>
      <c r="H12" s="815"/>
      <c r="I12" s="815"/>
      <c r="K12" s="814"/>
      <c r="L12" s="471"/>
    </row>
    <row r="13" spans="1:12" s="813" customFormat="1" ht="12.6" customHeight="1">
      <c r="A13" s="192"/>
      <c r="B13" s="185"/>
      <c r="C13" s="185"/>
      <c r="D13" s="185"/>
      <c r="E13" s="185"/>
      <c r="F13" s="185"/>
      <c r="G13" s="185"/>
      <c r="H13" s="185"/>
      <c r="I13" s="185"/>
      <c r="K13" s="814"/>
      <c r="L13" s="471"/>
    </row>
    <row r="14" spans="1:12" s="813" customFormat="1" ht="12.6" customHeight="1">
      <c r="A14" s="192"/>
      <c r="B14" s="185"/>
      <c r="C14" s="185"/>
      <c r="D14" s="185"/>
      <c r="E14" s="185"/>
      <c r="F14" s="185"/>
      <c r="G14" s="185"/>
      <c r="H14" s="185"/>
      <c r="I14" s="185"/>
      <c r="K14" s="814"/>
      <c r="L14" s="471"/>
    </row>
    <row r="15" spans="1:12" s="813" customFormat="1" ht="12.6" customHeight="1">
      <c r="A15" s="816"/>
      <c r="B15" s="185"/>
      <c r="C15" s="185"/>
      <c r="D15" s="185"/>
      <c r="E15" s="185"/>
      <c r="F15" s="185"/>
      <c r="G15" s="185"/>
      <c r="H15" s="185"/>
      <c r="I15" s="185"/>
      <c r="K15" s="814"/>
      <c r="L15" s="471"/>
    </row>
    <row r="16" spans="1:12" s="813" customFormat="1" ht="12.6" customHeight="1">
      <c r="A16" s="817"/>
      <c r="B16" s="185"/>
      <c r="C16" s="185"/>
      <c r="D16" s="185"/>
      <c r="E16" s="185"/>
      <c r="F16" s="185"/>
      <c r="G16" s="185"/>
      <c r="H16" s="185"/>
      <c r="I16" s="185"/>
      <c r="K16" s="814"/>
      <c r="L16" s="471"/>
    </row>
    <row r="17" spans="1:12" s="813" customFormat="1" ht="12.6" customHeight="1">
      <c r="A17" s="817"/>
      <c r="B17" s="185"/>
      <c r="C17" s="185"/>
      <c r="D17" s="185"/>
      <c r="E17" s="185"/>
      <c r="F17" s="185"/>
      <c r="G17" s="185"/>
      <c r="H17" s="185"/>
      <c r="I17" s="185"/>
      <c r="K17" s="814"/>
      <c r="L17" s="471"/>
    </row>
    <row r="18" spans="1:12">
      <c r="A18" s="279" t="s">
        <v>68</v>
      </c>
    </row>
    <row r="19" spans="1:12" s="782" customFormat="1" ht="49.5" customHeight="1">
      <c r="A19" s="818" t="s">
        <v>2550</v>
      </c>
      <c r="B19" s="818" t="s">
        <v>2548</v>
      </c>
      <c r="C19" s="818" t="s">
        <v>2546</v>
      </c>
      <c r="D19" s="818" t="s">
        <v>864</v>
      </c>
      <c r="E19" s="818" t="s">
        <v>783</v>
      </c>
      <c r="F19" s="818" t="s">
        <v>802</v>
      </c>
      <c r="G19" s="819" t="s">
        <v>116</v>
      </c>
      <c r="H19" s="819" t="s">
        <v>117</v>
      </c>
      <c r="I19" s="819" t="s">
        <v>46</v>
      </c>
    </row>
    <row r="20" spans="1:12" s="782" customFormat="1">
      <c r="A20" s="472"/>
      <c r="B20" s="473"/>
      <c r="C20" s="473"/>
      <c r="D20" s="283" t="str">
        <f>IF(C20="","",IFERROR(VLOOKUP(C20,'Fund Vlookup'!B:C,2,FALSE),"Verify fund number and Contact DOA"))</f>
        <v/>
      </c>
      <c r="E20" s="474"/>
      <c r="F20" s="634"/>
      <c r="G20" s="474"/>
      <c r="H20" s="472"/>
      <c r="I20" s="475"/>
    </row>
    <row r="21" spans="1:12" s="782" customFormat="1">
      <c r="A21" s="472"/>
      <c r="B21" s="473"/>
      <c r="C21" s="473"/>
      <c r="D21" s="283" t="str">
        <f>IF(C21="","",IFERROR(VLOOKUP(C21,'Fund Vlookup'!B:C,2,FALSE),"Verify fund number and Contact DOA"))</f>
        <v/>
      </c>
      <c r="E21" s="474"/>
      <c r="F21" s="634"/>
      <c r="G21" s="474"/>
      <c r="H21" s="472"/>
      <c r="I21" s="475"/>
    </row>
    <row r="22" spans="1:12" s="782" customFormat="1">
      <c r="A22" s="472"/>
      <c r="B22" s="473"/>
      <c r="C22" s="473"/>
      <c r="D22" s="283" t="str">
        <f>IF(C22="","",IFERROR(VLOOKUP(C22,'Fund Vlookup'!B:C,2,FALSE),"Verify fund number and Contact DOA"))</f>
        <v/>
      </c>
      <c r="E22" s="474"/>
      <c r="F22" s="634"/>
      <c r="G22" s="474"/>
      <c r="H22" s="472"/>
      <c r="I22" s="475"/>
    </row>
    <row r="23" spans="1:12" s="782" customFormat="1">
      <c r="A23" s="472"/>
      <c r="B23" s="473"/>
      <c r="C23" s="473"/>
      <c r="D23" s="283" t="str">
        <f>IF(C23="","",IFERROR(VLOOKUP(C23,'Fund Vlookup'!B:C,2,FALSE),"Verify fund number and Contact DOA"))</f>
        <v/>
      </c>
      <c r="E23" s="474"/>
      <c r="F23" s="634"/>
      <c r="G23" s="474"/>
      <c r="H23" s="472"/>
      <c r="I23" s="475"/>
    </row>
    <row r="24" spans="1:12" s="782" customFormat="1">
      <c r="A24" s="472"/>
      <c r="B24" s="473"/>
      <c r="C24" s="473"/>
      <c r="D24" s="283" t="str">
        <f>IF(C24="","",IFERROR(VLOOKUP(C24,'Fund Vlookup'!B:C,2,FALSE),"Verify fund number and Contact DOA"))</f>
        <v/>
      </c>
      <c r="E24" s="474"/>
      <c r="F24" s="634"/>
      <c r="G24" s="474"/>
      <c r="H24" s="472"/>
      <c r="I24" s="475"/>
    </row>
    <row r="25" spans="1:12" s="782" customFormat="1">
      <c r="A25" s="472"/>
      <c r="B25" s="473"/>
      <c r="C25" s="473"/>
      <c r="D25" s="283" t="str">
        <f>IF(C25="","",IFERROR(VLOOKUP(C25,'Fund Vlookup'!B:C,2,FALSE),"Verify fund number and Contact DOA"))</f>
        <v/>
      </c>
      <c r="E25" s="474"/>
      <c r="F25" s="634"/>
      <c r="G25" s="474"/>
      <c r="H25" s="472"/>
      <c r="I25" s="475"/>
    </row>
    <row r="26" spans="1:12" s="782" customFormat="1">
      <c r="A26" s="472"/>
      <c r="B26" s="473"/>
      <c r="C26" s="473"/>
      <c r="D26" s="283" t="str">
        <f>IF(C26="","",IFERROR(VLOOKUP(C26,'Fund Vlookup'!B:C,2,FALSE),"Verify fund number and Contact DOA"))</f>
        <v/>
      </c>
      <c r="E26" s="474"/>
      <c r="F26" s="634"/>
      <c r="G26" s="474"/>
      <c r="H26" s="472"/>
      <c r="I26" s="475"/>
    </row>
    <row r="27" spans="1:12" s="782" customFormat="1">
      <c r="A27" s="472"/>
      <c r="B27" s="473"/>
      <c r="C27" s="473"/>
      <c r="D27" s="283" t="str">
        <f>IF(C27="","",IFERROR(VLOOKUP(C27,'Fund Vlookup'!B:C,2,FALSE),"Verify fund number and Contact DOA"))</f>
        <v/>
      </c>
      <c r="E27" s="474"/>
      <c r="F27" s="634"/>
      <c r="G27" s="474"/>
      <c r="H27" s="472"/>
      <c r="I27" s="475"/>
    </row>
    <row r="28" spans="1:12" s="782" customFormat="1">
      <c r="B28" s="350"/>
      <c r="C28" s="350"/>
      <c r="D28" s="350"/>
      <c r="E28" s="353"/>
      <c r="F28" s="353"/>
      <c r="G28" s="353"/>
      <c r="H28" s="353"/>
      <c r="I28" s="350"/>
    </row>
    <row r="29" spans="1:12" s="782" customFormat="1" ht="13.5" thickBot="1">
      <c r="C29" s="350"/>
      <c r="D29" s="350"/>
      <c r="E29" s="353"/>
      <c r="F29" s="353"/>
      <c r="G29" s="353"/>
      <c r="H29" s="357" t="s">
        <v>70</v>
      </c>
      <c r="I29" s="820">
        <f>IF(SUM(I20:I27)='Fund Financial Stmt Template'!O154,SUM(I20:I27),"ERROR")</f>
        <v>0</v>
      </c>
    </row>
    <row r="30" spans="1:12" ht="13.5" thickTop="1">
      <c r="H30" s="821" t="s">
        <v>309</v>
      </c>
      <c r="I30" s="278">
        <f>SUM(I20:I27)-'Fund Financial Stmt Template'!O154</f>
        <v>0</v>
      </c>
    </row>
    <row r="32" spans="1:12">
      <c r="A32" s="279" t="s">
        <v>71</v>
      </c>
    </row>
    <row r="33" spans="1:9" s="782" customFormat="1" ht="47.25" customHeight="1">
      <c r="A33" s="818" t="s">
        <v>2551</v>
      </c>
      <c r="B33" s="818" t="s">
        <v>2549</v>
      </c>
      <c r="C33" s="818" t="s">
        <v>2547</v>
      </c>
      <c r="D33" s="818" t="s">
        <v>864</v>
      </c>
      <c r="E33" s="819" t="s">
        <v>783</v>
      </c>
      <c r="F33" s="818" t="s">
        <v>802</v>
      </c>
      <c r="G33" s="819" t="s">
        <v>116</v>
      </c>
      <c r="H33" s="819" t="s">
        <v>117</v>
      </c>
      <c r="I33" s="819" t="s">
        <v>115</v>
      </c>
    </row>
    <row r="34" spans="1:9" s="782" customFormat="1">
      <c r="A34" s="472"/>
      <c r="B34" s="473"/>
      <c r="C34" s="473"/>
      <c r="D34" s="283" t="str">
        <f>IF(C34="","",IFERROR(VLOOKUP(C34,'Fund Vlookup'!B:C,2,FALSE),"Verify fund number and Contact DOA"))</f>
        <v/>
      </c>
      <c r="E34" s="474"/>
      <c r="F34" s="473"/>
      <c r="G34" s="474"/>
      <c r="H34" s="472"/>
      <c r="I34" s="475"/>
    </row>
    <row r="35" spans="1:9" s="782" customFormat="1">
      <c r="A35" s="472"/>
      <c r="B35" s="473"/>
      <c r="C35" s="473"/>
      <c r="D35" s="283" t="str">
        <f>IF(C35="","",IFERROR(VLOOKUP(C35,'Fund Vlookup'!B:C,2,FALSE),"Verify fund number and Contact DOA"))</f>
        <v/>
      </c>
      <c r="E35" s="474"/>
      <c r="F35" s="473"/>
      <c r="G35" s="474"/>
      <c r="H35" s="472"/>
      <c r="I35" s="475"/>
    </row>
    <row r="36" spans="1:9" s="782" customFormat="1">
      <c r="A36" s="472"/>
      <c r="B36" s="473"/>
      <c r="C36" s="473"/>
      <c r="D36" s="283" t="str">
        <f>IF(C36="","",IFERROR(VLOOKUP(C36,'Fund Vlookup'!B:C,2,FALSE),"Verify fund number and Contact DOA"))</f>
        <v/>
      </c>
      <c r="E36" s="474"/>
      <c r="F36" s="473"/>
      <c r="G36" s="474"/>
      <c r="H36" s="472"/>
      <c r="I36" s="475"/>
    </row>
    <row r="37" spans="1:9" s="782" customFormat="1">
      <c r="A37" s="472"/>
      <c r="B37" s="473"/>
      <c r="C37" s="473"/>
      <c r="D37" s="283" t="str">
        <f>IF(C37="","",IFERROR(VLOOKUP(C37,'Fund Vlookup'!B:C,2,FALSE),"Verify fund number and Contact DOA"))</f>
        <v/>
      </c>
      <c r="E37" s="474"/>
      <c r="F37" s="473"/>
      <c r="G37" s="474"/>
      <c r="H37" s="472"/>
      <c r="I37" s="475"/>
    </row>
    <row r="38" spans="1:9" s="782" customFormat="1">
      <c r="A38" s="472"/>
      <c r="B38" s="473"/>
      <c r="C38" s="473"/>
      <c r="D38" s="283" t="str">
        <f>IF(C38="","",IFERROR(VLOOKUP(C38,'Fund Vlookup'!B:C,2,FALSE),"Verify fund number and Contact DOA"))</f>
        <v/>
      </c>
      <c r="E38" s="474"/>
      <c r="F38" s="473"/>
      <c r="G38" s="474"/>
      <c r="H38" s="472"/>
      <c r="I38" s="475"/>
    </row>
    <row r="39" spans="1:9" s="782" customFormat="1">
      <c r="A39" s="472"/>
      <c r="B39" s="473"/>
      <c r="C39" s="473"/>
      <c r="D39" s="283" t="str">
        <f>IF(C39="","",IFERROR(VLOOKUP(C39,'Fund Vlookup'!B:C,2,FALSE),"Verify fund number and Contact DOA"))</f>
        <v/>
      </c>
      <c r="E39" s="474"/>
      <c r="F39" s="473"/>
      <c r="G39" s="474"/>
      <c r="H39" s="472"/>
      <c r="I39" s="475"/>
    </row>
    <row r="40" spans="1:9" s="782" customFormat="1">
      <c r="A40" s="472"/>
      <c r="B40" s="473"/>
      <c r="C40" s="473"/>
      <c r="D40" s="283" t="str">
        <f>IF(C40="","",IFERROR(VLOOKUP(C40,'Fund Vlookup'!B:C,2,FALSE),"Verify fund number and Contact DOA"))</f>
        <v/>
      </c>
      <c r="E40" s="474"/>
      <c r="F40" s="473"/>
      <c r="G40" s="474"/>
      <c r="H40" s="472"/>
      <c r="I40" s="475"/>
    </row>
    <row r="41" spans="1:9" s="782" customFormat="1">
      <c r="A41" s="472"/>
      <c r="B41" s="473"/>
      <c r="C41" s="473"/>
      <c r="D41" s="283" t="str">
        <f>IF(C41="","",IFERROR(VLOOKUP(C41,'Fund Vlookup'!B:C,2,FALSE),"Verify fund number and Contact DOA"))</f>
        <v/>
      </c>
      <c r="E41" s="474"/>
      <c r="F41" s="473"/>
      <c r="G41" s="474"/>
      <c r="H41" s="472"/>
      <c r="I41" s="475"/>
    </row>
    <row r="42" spans="1:9" s="782" customFormat="1">
      <c r="B42" s="350"/>
      <c r="C42" s="350"/>
      <c r="D42" s="350"/>
      <c r="E42" s="353"/>
      <c r="F42" s="353"/>
      <c r="G42" s="353"/>
      <c r="H42" s="353"/>
      <c r="I42" s="350"/>
    </row>
    <row r="43" spans="1:9" s="782" customFormat="1" ht="13.5" thickBot="1">
      <c r="C43" s="350"/>
      <c r="D43" s="350"/>
      <c r="E43" s="353"/>
      <c r="F43" s="353"/>
      <c r="G43" s="353"/>
      <c r="H43" s="357" t="s">
        <v>134</v>
      </c>
      <c r="I43" s="820">
        <f>IF(SUM(I34:I41)='Fund Financial Stmt Template'!O155,SUM(I34:I41),"ERROR")</f>
        <v>0</v>
      </c>
    </row>
    <row r="44" spans="1:9" ht="13.5" thickTop="1">
      <c r="H44" s="821" t="s">
        <v>309</v>
      </c>
      <c r="I44" s="278">
        <f>SUM(I34:I41)-'Fund Financial Stmt Template'!O155</f>
        <v>0</v>
      </c>
    </row>
    <row r="52" spans="5:8" hidden="1"/>
    <row r="53" spans="5:8" hidden="1">
      <c r="E53" s="252" t="s">
        <v>106</v>
      </c>
      <c r="F53" s="252"/>
      <c r="G53" s="252" t="s">
        <v>106</v>
      </c>
      <c r="H53" s="252"/>
    </row>
    <row r="54" spans="5:8" hidden="1">
      <c r="E54" s="252" t="s">
        <v>417</v>
      </c>
      <c r="F54" s="252"/>
      <c r="G54" s="252" t="s">
        <v>417</v>
      </c>
      <c r="H54" s="252"/>
    </row>
    <row r="55" spans="5:8" hidden="1">
      <c r="E55" s="252" t="s">
        <v>119</v>
      </c>
      <c r="G55" s="252" t="s">
        <v>119</v>
      </c>
    </row>
  </sheetData>
  <sheetProtection algorithmName="SHA-512" hashValue="m3JHfKtNvooTmKg1KFCSxmC0uT4b4dNLd/i6wJIO7sLFb6X9Fg80BsPyrtkAVgYGoDat1tVlQ1o5wOu+3sg/Qw==" saltValue="SbnC/0Xr1iOS8e9HQRFkjw==" spinCount="100000" sheet="1" objects="1" scenarios="1"/>
  <customSheetViews>
    <customSheetView guid="{354F272F-821B-473B-9CC5-4001AD879606}" hiddenRows="1">
      <selection activeCell="D31" sqref="D31"/>
      <pageMargins left="0.27" right="0.18" top="0.78" bottom="0.46" header="0.28999999999999998" footer="0.17"/>
      <pageSetup scale="64" orientation="landscape"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7">
    <mergeCell ref="B5:F5"/>
    <mergeCell ref="B6:F6"/>
    <mergeCell ref="B8:F8"/>
    <mergeCell ref="B1:F1"/>
    <mergeCell ref="B2:F2"/>
    <mergeCell ref="B3:F3"/>
    <mergeCell ref="B4:F4"/>
  </mergeCells>
  <phoneticPr fontId="40" type="noConversion"/>
  <dataValidations xWindow="535" yWindow="285" count="7">
    <dataValidation type="whole" allowBlank="1" showInputMessage="1" showErrorMessage="1" error="Enter a whole number." sqref="I20:I27" xr:uid="{00000000-0002-0000-0E00-000000000000}">
      <formula1>-9999999999999</formula1>
      <formula2>9999999999999</formula2>
    </dataValidation>
    <dataValidation type="list" allowBlank="1" showInputMessage="1" showErrorMessage="1" error="Use the drop-down list to enter yes, no or unknown." sqref="G20:G27 G34:G41" xr:uid="{00000000-0002-0000-0E00-000001000000}">
      <formula1>$G$53:$G$55</formula1>
    </dataValidation>
    <dataValidation type="list" allowBlank="1" showInputMessage="1" showErrorMessage="1" error="Use the drop-down list to enter yes, no or unknown." sqref="E20:E27 E34:E41" xr:uid="{00000000-0002-0000-0E00-000002000000}">
      <formula1>$E$53:$E$55</formula1>
    </dataValidation>
    <dataValidation allowBlank="1" showInputMessage="1" error="Enter Yes or No using the drop down list." sqref="H34:H41 A20:A27 H20:H27 A34:A41" xr:uid="{00000000-0002-0000-0E00-000003000000}"/>
    <dataValidation type="whole" allowBlank="1" showInputMessage="1" showErrorMessage="1" error="Enter a fund number between 01000 and 99999." sqref="C34:C41 C20:C27" xr:uid="{00000000-0002-0000-0E00-000004000000}">
      <formula1>1000</formula1>
      <formula2>99999</formula2>
    </dataValidation>
    <dataValidation type="whole" allowBlank="1" showInputMessage="1" showErrorMessage="1" error="Enter a negative whole number." sqref="I34:I41" xr:uid="{00000000-0002-0000-0E00-000005000000}">
      <formula1>-9999999999999</formula1>
      <formula2>0</formula2>
    </dataValidation>
    <dataValidation type="whole" allowBlank="1" showInputMessage="1" showErrorMessage="1" error="Enter a business unit number between 10000 and 99600." sqref="B20:B27 B34:B41" xr:uid="{00000000-0002-0000-0E00-000006000000}">
      <formula1>10000</formula1>
      <formula2>99600</formula2>
    </dataValidation>
  </dataValidations>
  <pageMargins left="0.27" right="0.18" top="0.78" bottom="0.46" header="0.28999999999999998" footer="0.17"/>
  <pageSetup scale="64" orientation="landscape"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0"/>
  <sheetViews>
    <sheetView zoomScale="82" zoomScaleNormal="82" workbookViewId="0">
      <selection activeCell="A29" sqref="A29"/>
    </sheetView>
  </sheetViews>
  <sheetFormatPr defaultColWidth="9.140625" defaultRowHeight="12.75"/>
  <cols>
    <col min="1" max="1" width="40.42578125" style="191" customWidth="1"/>
    <col min="2" max="2" width="20.5703125" style="191" bestFit="1" customWidth="1"/>
    <col min="3" max="3" width="2.5703125" style="191" customWidth="1"/>
    <col min="4" max="4" width="20.7109375" style="191" bestFit="1" customWidth="1"/>
    <col min="5" max="5" width="2.5703125" style="191" customWidth="1"/>
    <col min="6" max="6" width="21.28515625" style="191" bestFit="1" customWidth="1"/>
    <col min="7" max="7" width="2.5703125" style="191" customWidth="1"/>
    <col min="8" max="8" width="21.85546875" style="191" bestFit="1" customWidth="1"/>
    <col min="9" max="9" width="2.5703125" style="191" customWidth="1"/>
    <col min="10" max="10" width="21.85546875" style="191" bestFit="1" customWidth="1"/>
    <col min="11" max="11" width="2.5703125" style="191" customWidth="1"/>
    <col min="12" max="12" width="21.85546875" style="191" bestFit="1" customWidth="1"/>
    <col min="13" max="13" width="4.140625" style="191" customWidth="1"/>
    <col min="14" max="14" width="21" style="191" customWidth="1"/>
    <col min="15" max="16384" width="9.140625" style="191"/>
  </cols>
  <sheetData>
    <row r="1" spans="1:18" s="373" customFormat="1" ht="12.75" customHeight="1">
      <c r="A1" s="372" t="s">
        <v>399</v>
      </c>
      <c r="B1" s="1070" t="str">
        <f>IF('Fund Financial Stmt Template'!E1="","",'Fund Financial Stmt Template'!E1)</f>
        <v/>
      </c>
      <c r="C1" s="1070"/>
      <c r="D1" s="1070"/>
      <c r="E1" s="1070"/>
      <c r="F1" s="1070"/>
      <c r="G1" s="374"/>
      <c r="H1" s="374"/>
      <c r="I1" s="374"/>
      <c r="J1" s="374"/>
    </row>
    <row r="2" spans="1:18" s="373" customFormat="1" ht="28.5" customHeight="1">
      <c r="A2" s="745" t="s">
        <v>362</v>
      </c>
      <c r="B2" s="1071" t="str">
        <f>'Fund Financial Stmt Template'!E2</f>
        <v/>
      </c>
      <c r="C2" s="1072"/>
      <c r="D2" s="1072"/>
      <c r="E2" s="1072"/>
      <c r="F2" s="1073"/>
      <c r="G2" s="374"/>
      <c r="H2" s="374"/>
      <c r="I2" s="374"/>
      <c r="J2" s="374"/>
    </row>
    <row r="3" spans="1:18" s="373" customFormat="1" ht="12.75" customHeight="1">
      <c r="A3" s="745" t="s">
        <v>419</v>
      </c>
      <c r="B3" s="1074" t="str">
        <f>IF('Fund Financial Stmt Template'!E3="","",'Fund Financial Stmt Template'!E3)</f>
        <v/>
      </c>
      <c r="C3" s="1074"/>
      <c r="D3" s="1074"/>
      <c r="E3" s="1074"/>
      <c r="F3" s="1074"/>
      <c r="G3" s="374"/>
      <c r="H3" s="374"/>
      <c r="I3" s="374"/>
      <c r="J3" s="374"/>
    </row>
    <row r="4" spans="1:18" s="373" customFormat="1" ht="12.75" customHeight="1">
      <c r="A4" s="745" t="s">
        <v>420</v>
      </c>
      <c r="B4" s="1075" t="str">
        <f>IF('Fund Financial Stmt Template'!E4="","",'Fund Financial Stmt Template'!E4)</f>
        <v/>
      </c>
      <c r="C4" s="1075"/>
      <c r="D4" s="1075"/>
      <c r="E4" s="1075"/>
      <c r="F4" s="1075"/>
      <c r="G4" s="374"/>
      <c r="H4" s="374"/>
      <c r="I4" s="374"/>
      <c r="J4" s="374"/>
    </row>
    <row r="5" spans="1:18" s="373" customFormat="1" ht="12.75" customHeight="1">
      <c r="A5" s="745" t="s">
        <v>421</v>
      </c>
      <c r="B5" s="1065" t="str">
        <f>IF('Fund Financial Stmt Template'!E5="","",'Fund Financial Stmt Template'!E5)</f>
        <v/>
      </c>
      <c r="C5" s="1065"/>
      <c r="D5" s="1065"/>
      <c r="E5" s="1065"/>
      <c r="F5" s="1065"/>
      <c r="G5" s="374"/>
      <c r="H5" s="374"/>
      <c r="I5" s="374"/>
      <c r="J5" s="374"/>
    </row>
    <row r="6" spans="1:18" s="373" customFormat="1" ht="12.75" customHeight="1">
      <c r="A6" s="745" t="s">
        <v>418</v>
      </c>
      <c r="B6" s="1066" t="str">
        <f>IF('Fund Financial Stmt Template'!E6="","",'Fund Financial Stmt Template'!E6)</f>
        <v/>
      </c>
      <c r="C6" s="1066"/>
      <c r="D6" s="1066"/>
      <c r="E6" s="1066"/>
      <c r="F6" s="1066"/>
      <c r="G6" s="374"/>
      <c r="H6" s="374"/>
      <c r="I6" s="374"/>
      <c r="J6" s="374"/>
    </row>
    <row r="7" spans="1:18" s="373" customFormat="1" ht="12.75" customHeight="1">
      <c r="A7" s="190"/>
      <c r="B7" s="375"/>
      <c r="C7" s="273"/>
      <c r="D7" s="273"/>
      <c r="E7" s="273"/>
      <c r="F7" s="273"/>
      <c r="G7" s="273"/>
      <c r="H7" s="273"/>
      <c r="I7" s="273"/>
      <c r="J7" s="273"/>
    </row>
    <row r="8" spans="1:18" s="373" customFormat="1" ht="12.75" customHeight="1">
      <c r="A8" s="745" t="s">
        <v>491</v>
      </c>
      <c r="B8" s="1156" t="str">
        <f>IF('Fund Financial Stmt Template'!E8="","",'Fund Financial Stmt Template'!E8)</f>
        <v/>
      </c>
      <c r="C8" s="1156"/>
      <c r="D8" s="1156"/>
      <c r="E8" s="1156"/>
      <c r="F8" s="1156"/>
      <c r="G8" s="374"/>
      <c r="H8" s="374"/>
      <c r="I8" s="374"/>
      <c r="J8" s="374"/>
    </row>
    <row r="9" spans="1:18" s="373" customFormat="1" ht="12.75" customHeight="1">
      <c r="A9" s="190"/>
      <c r="B9" s="375"/>
      <c r="C9" s="273"/>
      <c r="D9" s="273"/>
      <c r="E9" s="273"/>
      <c r="F9" s="273"/>
      <c r="G9" s="273"/>
      <c r="H9" s="273"/>
      <c r="I9" s="273"/>
      <c r="J9" s="273"/>
    </row>
    <row r="10" spans="1:18">
      <c r="A10" s="273"/>
      <c r="B10" s="273"/>
      <c r="C10" s="273"/>
      <c r="D10" s="273"/>
      <c r="E10" s="273"/>
      <c r="F10" s="273"/>
      <c r="G10" s="273"/>
      <c r="H10" s="273"/>
      <c r="P10" s="859"/>
      <c r="Q10" s="799"/>
      <c r="R10" s="860"/>
    </row>
    <row r="11" spans="1:18" s="373" customFormat="1">
      <c r="A11" s="190" t="s">
        <v>271</v>
      </c>
      <c r="B11" s="1150" t="s">
        <v>2891</v>
      </c>
      <c r="C11" s="1151"/>
      <c r="D11" s="1151"/>
      <c r="E11" s="1151"/>
      <c r="F11" s="1151"/>
      <c r="G11" s="1151"/>
      <c r="H11" s="1151"/>
      <c r="I11" s="1151"/>
      <c r="J11" s="1151"/>
      <c r="K11" s="1151"/>
      <c r="L11" s="1152"/>
    </row>
    <row r="12" spans="1:18" s="378" customFormat="1" ht="12.6" customHeight="1">
      <c r="A12" s="377" t="str">
        <f>'Tab 2-Receivables'!A11</f>
        <v>For the Year Ended June 30, 2024</v>
      </c>
      <c r="B12" s="1153"/>
      <c r="C12" s="1154"/>
      <c r="D12" s="1154"/>
      <c r="E12" s="1154"/>
      <c r="F12" s="1154"/>
      <c r="G12" s="1154"/>
      <c r="H12" s="1154"/>
      <c r="I12" s="1154"/>
      <c r="J12" s="1154"/>
      <c r="K12" s="1154"/>
      <c r="L12" s="1155"/>
    </row>
    <row r="13" spans="1:18" s="378" customFormat="1" ht="12.6" customHeight="1">
      <c r="A13" s="861"/>
      <c r="B13" s="794"/>
      <c r="C13" s="794"/>
      <c r="D13" s="794"/>
      <c r="E13" s="794"/>
      <c r="F13" s="794"/>
      <c r="G13" s="794"/>
      <c r="H13" s="794"/>
      <c r="I13" s="862"/>
      <c r="J13" s="863"/>
      <c r="K13" s="862"/>
      <c r="L13" s="862"/>
    </row>
    <row r="14" spans="1:18" s="378" customFormat="1" ht="12.6" customHeight="1">
      <c r="A14" s="797"/>
      <c r="B14" s="191"/>
      <c r="C14" s="191"/>
      <c r="D14" s="191"/>
      <c r="E14" s="191"/>
      <c r="F14" s="191"/>
      <c r="G14" s="191"/>
      <c r="H14" s="191"/>
      <c r="J14" s="792"/>
    </row>
    <row r="15" spans="1:18">
      <c r="A15" s="279" t="s">
        <v>640</v>
      </c>
    </row>
    <row r="16" spans="1:18">
      <c r="A16" s="279"/>
    </row>
    <row r="17" spans="1:14">
      <c r="A17" s="279"/>
    </row>
    <row r="18" spans="1:14">
      <c r="A18" s="279"/>
    </row>
    <row r="19" spans="1:14">
      <c r="A19" s="279"/>
    </row>
    <row r="20" spans="1:14">
      <c r="A20" s="279"/>
    </row>
    <row r="21" spans="1:14">
      <c r="A21" s="279"/>
    </row>
    <row r="22" spans="1:14" ht="42.6" customHeight="1">
      <c r="D22" s="864" t="s">
        <v>573</v>
      </c>
      <c r="E22" s="805"/>
      <c r="F22" s="864" t="s">
        <v>574</v>
      </c>
      <c r="G22" s="805"/>
      <c r="H22" s="864" t="s">
        <v>575</v>
      </c>
      <c r="I22" s="805"/>
      <c r="J22" s="864" t="s">
        <v>576</v>
      </c>
      <c r="K22" s="805"/>
      <c r="L22" s="864" t="s">
        <v>577</v>
      </c>
      <c r="N22" s="864" t="s">
        <v>578</v>
      </c>
    </row>
    <row r="23" spans="1:14" ht="56.25" customHeight="1">
      <c r="A23" s="262" t="s">
        <v>2890</v>
      </c>
      <c r="B23" s="262"/>
      <c r="C23" s="262"/>
      <c r="D23" s="314" t="str">
        <f>IF(ISNA(VLOOKUP($B$8,'Ending FB - FY 2023'!$A:$F,2,FALSE)),"",VLOOKUP($B$8,'Ending FB - FY 2023'!$A:$F,2,FALSE))</f>
        <v/>
      </c>
      <c r="E23" s="476"/>
      <c r="F23" s="314" t="str">
        <f>IF(ISNA(VLOOKUP($B$8,'Ending FB - FY 2023'!$A:$F,3,FALSE)),"",VLOOKUP($B$8,'Ending FB - FY 2023'!$A:$F,3,FALSE))</f>
        <v/>
      </c>
      <c r="G23" s="476"/>
      <c r="H23" s="314">
        <f>SUM(D23,F23)</f>
        <v>0</v>
      </c>
      <c r="I23" s="476"/>
      <c r="J23" s="314" t="str">
        <f>IF(ISNA(VLOOKUP($B$8,'Ending FB - FY 2023'!$A:$G,5,FALSE)),"",VLOOKUP($B$8,'Ending FB - FY 2023'!$A:$G,5,FALSE))</f>
        <v/>
      </c>
      <c r="K23" s="476"/>
      <c r="L23" s="314" t="str">
        <f>IF(ISNA(VLOOKUP($B$8,'Ending FB - FY 2023'!$A:$F,6,FALSE)),"",VLOOKUP($B$8,'Ending FB - FY 2023'!$A:$F,6,FALSE))</f>
        <v/>
      </c>
      <c r="N23" s="314">
        <f>SUM(H23,J23,L23)</f>
        <v>0</v>
      </c>
    </row>
    <row r="24" spans="1:14">
      <c r="A24" s="262"/>
      <c r="B24" s="262"/>
      <c r="C24" s="262"/>
      <c r="D24" s="376"/>
      <c r="E24" s="476"/>
      <c r="F24" s="376"/>
      <c r="G24" s="476"/>
      <c r="H24" s="376"/>
      <c r="I24" s="476"/>
      <c r="J24" s="376"/>
      <c r="K24" s="476"/>
      <c r="L24" s="376"/>
      <c r="N24" s="376"/>
    </row>
    <row r="25" spans="1:14" hidden="1">
      <c r="D25" s="376"/>
      <c r="E25" s="476"/>
      <c r="F25" s="376"/>
      <c r="G25" s="476"/>
      <c r="H25" s="376"/>
      <c r="I25" s="476"/>
      <c r="J25" s="376"/>
      <c r="K25" s="476"/>
      <c r="L25" s="376"/>
      <c r="N25" s="376"/>
    </row>
    <row r="26" spans="1:14" hidden="1">
      <c r="D26" s="376"/>
      <c r="E26" s="476"/>
      <c r="F26" s="376"/>
      <c r="G26" s="476"/>
      <c r="H26" s="376"/>
      <c r="I26" s="476"/>
      <c r="J26" s="376"/>
      <c r="K26" s="476"/>
      <c r="L26" s="376"/>
      <c r="N26" s="376"/>
    </row>
    <row r="27" spans="1:14" hidden="1">
      <c r="D27" s="476"/>
      <c r="E27" s="476"/>
      <c r="F27" s="262"/>
      <c r="G27" s="476"/>
      <c r="H27" s="476"/>
      <c r="I27" s="476"/>
      <c r="J27" s="476"/>
      <c r="K27" s="476"/>
      <c r="L27" s="476"/>
      <c r="N27" s="476"/>
    </row>
    <row r="28" spans="1:14">
      <c r="A28" s="191" t="s">
        <v>3584</v>
      </c>
      <c r="B28" s="476" t="s">
        <v>3585</v>
      </c>
      <c r="D28" s="476"/>
      <c r="E28" s="476"/>
      <c r="F28" s="476"/>
      <c r="G28" s="476"/>
      <c r="H28" s="476"/>
      <c r="I28" s="476"/>
      <c r="J28" s="476"/>
      <c r="K28" s="476"/>
      <c r="L28" s="476"/>
      <c r="N28" s="476"/>
    </row>
    <row r="29" spans="1:14">
      <c r="A29" s="867"/>
      <c r="B29" s="868"/>
      <c r="D29" s="868"/>
      <c r="E29" s="476"/>
      <c r="F29" s="868"/>
      <c r="G29" s="476"/>
      <c r="H29" s="865">
        <f>SUM(D29,F29)</f>
        <v>0</v>
      </c>
      <c r="I29" s="476"/>
      <c r="J29" s="868"/>
      <c r="K29" s="476"/>
      <c r="L29" s="868"/>
      <c r="N29" s="314">
        <f t="shared" ref="N29" si="0">SUM(H29,J29,L29)</f>
        <v>0</v>
      </c>
    </row>
    <row r="30" spans="1:14">
      <c r="A30" s="867"/>
      <c r="B30" s="868"/>
      <c r="D30" s="868"/>
      <c r="E30" s="476"/>
      <c r="F30" s="868"/>
      <c r="G30" s="476"/>
      <c r="H30" s="865">
        <f>SUM(D30,F30)</f>
        <v>0</v>
      </c>
      <c r="I30" s="476"/>
      <c r="J30" s="868"/>
      <c r="K30" s="476"/>
      <c r="L30" s="868"/>
      <c r="N30" s="314">
        <f t="shared" ref="N30:N34" si="1">SUM(H30,J30,L30)</f>
        <v>0</v>
      </c>
    </row>
    <row r="31" spans="1:14">
      <c r="A31" s="867"/>
      <c r="B31" s="868"/>
      <c r="D31" s="868"/>
      <c r="E31" s="476"/>
      <c r="F31" s="868"/>
      <c r="G31" s="476"/>
      <c r="H31" s="865">
        <f t="shared" ref="H31:H34" si="2">SUM(D31,F31)</f>
        <v>0</v>
      </c>
      <c r="I31" s="476"/>
      <c r="J31" s="868"/>
      <c r="K31" s="476"/>
      <c r="L31" s="868"/>
      <c r="N31" s="314">
        <f t="shared" si="1"/>
        <v>0</v>
      </c>
    </row>
    <row r="32" spans="1:14">
      <c r="A32" s="867"/>
      <c r="B32" s="868"/>
      <c r="D32" s="868"/>
      <c r="E32" s="476"/>
      <c r="F32" s="868"/>
      <c r="G32" s="476"/>
      <c r="H32" s="865">
        <f t="shared" si="2"/>
        <v>0</v>
      </c>
      <c r="I32" s="476"/>
      <c r="J32" s="868"/>
      <c r="K32" s="476"/>
      <c r="L32" s="868"/>
      <c r="N32" s="314">
        <f t="shared" si="1"/>
        <v>0</v>
      </c>
    </row>
    <row r="33" spans="1:14">
      <c r="A33" s="867"/>
      <c r="B33" s="868"/>
      <c r="D33" s="868"/>
      <c r="E33" s="476"/>
      <c r="F33" s="868"/>
      <c r="G33" s="476"/>
      <c r="H33" s="865">
        <f t="shared" si="2"/>
        <v>0</v>
      </c>
      <c r="I33" s="476"/>
      <c r="J33" s="868"/>
      <c r="K33" s="476"/>
      <c r="L33" s="868"/>
      <c r="N33" s="314">
        <f t="shared" si="1"/>
        <v>0</v>
      </c>
    </row>
    <row r="34" spans="1:14">
      <c r="A34" s="867"/>
      <c r="B34" s="868"/>
      <c r="D34" s="868"/>
      <c r="E34" s="476"/>
      <c r="F34" s="868"/>
      <c r="G34" s="476"/>
      <c r="H34" s="865">
        <f t="shared" si="2"/>
        <v>0</v>
      </c>
      <c r="I34" s="476"/>
      <c r="J34" s="868"/>
      <c r="K34" s="476"/>
      <c r="L34" s="868"/>
      <c r="N34" s="314">
        <f t="shared" si="1"/>
        <v>0</v>
      </c>
    </row>
    <row r="35" spans="1:14" ht="12.75" customHeight="1">
      <c r="A35" s="262"/>
      <c r="B35" s="262"/>
      <c r="C35" s="262"/>
      <c r="D35" s="477"/>
      <c r="E35" s="476"/>
      <c r="F35" s="476"/>
      <c r="G35" s="476"/>
      <c r="H35" s="476"/>
      <c r="I35" s="476"/>
      <c r="J35" s="476"/>
      <c r="K35" s="476"/>
      <c r="L35" s="476"/>
      <c r="N35" s="476"/>
    </row>
    <row r="36" spans="1:14" ht="26.25" thickBot="1">
      <c r="A36" s="262" t="s">
        <v>641</v>
      </c>
      <c r="B36" s="262"/>
      <c r="C36" s="262"/>
      <c r="D36" s="478">
        <f>SUM(D23,D29:D34)</f>
        <v>0</v>
      </c>
      <c r="E36" s="479"/>
      <c r="F36" s="478">
        <f>SUM(F23,F29:F34)</f>
        <v>0</v>
      </c>
      <c r="G36" s="479"/>
      <c r="H36" s="478">
        <f>SUM(H23,H29:H34)</f>
        <v>0</v>
      </c>
      <c r="I36" s="479"/>
      <c r="J36" s="478">
        <f>SUM(J23,J29:J34)</f>
        <v>0</v>
      </c>
      <c r="K36" s="476"/>
      <c r="L36" s="478">
        <f>SUM(L23,L29:L34)</f>
        <v>0</v>
      </c>
      <c r="N36" s="478">
        <f>SUM(N23,N29:N34)</f>
        <v>0</v>
      </c>
    </row>
    <row r="37" spans="1:14" ht="13.5" thickTop="1"/>
    <row r="39" spans="1:14">
      <c r="A39" s="858"/>
    </row>
    <row r="40" spans="1:14">
      <c r="A40" s="300"/>
    </row>
    <row r="41" spans="1:14" hidden="1"/>
    <row r="42" spans="1:14" hidden="1">
      <c r="C42" s="191" t="s">
        <v>3587</v>
      </c>
    </row>
    <row r="43" spans="1:14" hidden="1">
      <c r="A43" s="866"/>
      <c r="C43" s="191" t="s">
        <v>3588</v>
      </c>
    </row>
    <row r="44" spans="1:14" hidden="1">
      <c r="C44" s="191" t="s">
        <v>3589</v>
      </c>
    </row>
    <row r="45" spans="1:14" hidden="1"/>
    <row r="46" spans="1:14" hidden="1"/>
    <row r="49" spans="1:10" ht="31.5" customHeight="1">
      <c r="A49" s="1012" t="s">
        <v>3605</v>
      </c>
      <c r="B49" s="1012"/>
      <c r="C49" s="1012"/>
      <c r="D49" s="1012"/>
      <c r="E49" s="1012"/>
      <c r="F49" s="1012"/>
      <c r="G49" s="1012"/>
      <c r="H49" s="1012"/>
      <c r="I49" s="1012"/>
      <c r="J49" s="1012"/>
    </row>
    <row r="50" spans="1:10" ht="57" customHeight="1">
      <c r="A50" s="1147" t="str" cm="1">
        <f t="array" ref="A50">IF(OR(D29:D34&lt;&gt;0,F29:F34&lt;&gt;0,J29:J34&lt;&gt;0,L29:L34&lt;&gt;0),"Answer Required","N/A")</f>
        <v>N/A</v>
      </c>
      <c r="B50" s="1148"/>
      <c r="C50" s="1148"/>
      <c r="D50" s="1148"/>
      <c r="E50" s="1148"/>
      <c r="F50" s="1148"/>
      <c r="G50" s="1148"/>
      <c r="H50" s="1148"/>
      <c r="I50" s="1148"/>
      <c r="J50" s="1149"/>
    </row>
  </sheetData>
  <sheetProtection algorithmName="SHA-512" hashValue="/pJIkLlBfFOuEnwMmrVA9F77d7Qy5G9U7Ges4pBfrYBqPhVUW92BGMm6KRWr1iX94HCNUdgrrAGV/nMzUHrTqg==" saltValue="JdtlHI9LCLAhZl7zhuwYvw==" spinCount="100000" sheet="1" objects="1" scenarios="1"/>
  <customSheetViews>
    <customSheetView guid="{354F272F-821B-473B-9CC5-4001AD879606}" hiddenRows="1" topLeftCell="A5">
      <selection activeCell="G41" sqref="G41"/>
      <pageMargins left="0.27" right="0.18" top="0.78" bottom="0.46" header="0.28999999999999998" footer="0.17"/>
      <pageSetup scale="69" orientation="landscape"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10">
    <mergeCell ref="A49:J49"/>
    <mergeCell ref="A50:J50"/>
    <mergeCell ref="B11:L12"/>
    <mergeCell ref="B1:F1"/>
    <mergeCell ref="B2:F2"/>
    <mergeCell ref="B8:F8"/>
    <mergeCell ref="B3:F3"/>
    <mergeCell ref="B4:F4"/>
    <mergeCell ref="B5:F5"/>
    <mergeCell ref="B6:F6"/>
  </mergeCells>
  <phoneticPr fontId="40" type="noConversion"/>
  <conditionalFormatting sqref="A50:J50">
    <cfRule type="containsText" dxfId="13" priority="1" operator="containsText" text="Answer Required">
      <formula>NOT(ISERROR(SEARCH("Answer Required",A50)))</formula>
    </cfRule>
  </conditionalFormatting>
  <dataValidations xWindow="146" yWindow="303" count="4">
    <dataValidation type="whole" allowBlank="1" showInputMessage="1" showErrorMessage="1" sqref="D35 D27" xr:uid="{00000000-0002-0000-0F00-000000000000}">
      <formula1>-99999999999999</formula1>
      <formula2>9999999999999990000</formula2>
    </dataValidation>
    <dataValidation allowBlank="1" sqref="D36 N36 F36 H36 L36 J36 N29:N34" xr:uid="{00000000-0002-0000-0F00-000001000000}"/>
    <dataValidation type="whole" allowBlank="1" showInputMessage="1" showErrorMessage="1" error="Enter a whole number." sqref="F29:F34 J29:J34 L29:L34 D29:D34" xr:uid="{00000000-0002-0000-0F00-000002000000}">
      <formula1>-9999999999999</formula1>
      <formula2>9999999999999</formula2>
    </dataValidation>
    <dataValidation type="list" allowBlank="1" showInputMessage="1" showErrorMessage="1" error="Use the drop-down list to enter a type of restatement." sqref="B29:B34" xr:uid="{C895DFA8-2EA6-4B3A-B60F-BF6B146F9C28}">
      <formula1>$C$42:$C$44</formula1>
    </dataValidation>
  </dataValidations>
  <pageMargins left="0.27" right="0.18" top="0.78" bottom="0.46" header="0.28999999999999998" footer="0.17"/>
  <pageSetup scale="64" orientation="landscape"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20"/>
  <sheetViews>
    <sheetView zoomScale="110" zoomScaleNormal="110" workbookViewId="0">
      <selection activeCell="E1" sqref="E1:G1"/>
    </sheetView>
  </sheetViews>
  <sheetFormatPr defaultColWidth="7.5703125" defaultRowHeight="12.75"/>
  <cols>
    <col min="1" max="3" width="1.85546875" style="185" customWidth="1"/>
    <col min="4" max="4" width="33.42578125" style="185" customWidth="1"/>
    <col min="5" max="5" width="27.7109375" style="185" customWidth="1"/>
    <col min="6" max="6" width="7" style="191" customWidth="1"/>
    <col min="7" max="7" width="21.28515625" style="185" customWidth="1"/>
    <col min="8" max="8" width="1.85546875" style="185" customWidth="1"/>
    <col min="9" max="9" width="1.5703125" style="185" customWidth="1"/>
    <col min="10" max="10" width="18.140625" style="185" customWidth="1"/>
    <col min="11" max="11" width="1.5703125" style="185" customWidth="1"/>
    <col min="12" max="12" width="15.85546875" style="185" customWidth="1"/>
    <col min="13" max="13" width="1.5703125" style="185" customWidth="1"/>
    <col min="14" max="14" width="15.5703125" style="185" customWidth="1"/>
    <col min="15" max="15" width="1.5703125" style="185" customWidth="1"/>
    <col min="16" max="16" width="84" style="185" customWidth="1"/>
    <col min="17" max="17" width="1.85546875" style="782" customWidth="1"/>
    <col min="18" max="18" width="2.140625" style="186" customWidth="1"/>
    <col min="19" max="22" width="7.5703125" style="185"/>
    <col min="23" max="23" width="17.85546875" style="185" customWidth="1"/>
    <col min="24" max="24" width="14.85546875" style="185" customWidth="1"/>
    <col min="25" max="16384" width="7.5703125" style="185"/>
  </cols>
  <sheetData>
    <row r="1" spans="1:22" ht="12.75" customHeight="1">
      <c r="A1" s="913" t="s">
        <v>399</v>
      </c>
      <c r="B1" s="960"/>
      <c r="C1" s="960"/>
      <c r="D1" s="960"/>
      <c r="E1" s="933" t="str">
        <f>IF('Fund Financial Stmt Template'!E1="","",'Fund Financial Stmt Template'!E1)</f>
        <v/>
      </c>
      <c r="F1" s="1165"/>
      <c r="G1" s="1166"/>
    </row>
    <row r="2" spans="1:22" ht="25.5" customHeight="1">
      <c r="A2" s="911" t="s">
        <v>362</v>
      </c>
      <c r="B2" s="960"/>
      <c r="C2" s="960"/>
      <c r="D2" s="960"/>
      <c r="E2" s="908" t="str">
        <f>'Fund Financial Stmt Template'!E2</f>
        <v/>
      </c>
      <c r="F2" s="1056"/>
      <c r="G2" s="1057"/>
    </row>
    <row r="3" spans="1:22" ht="12.75" customHeight="1">
      <c r="A3" s="911" t="s">
        <v>419</v>
      </c>
      <c r="B3" s="960"/>
      <c r="C3" s="960"/>
      <c r="D3" s="960"/>
      <c r="E3" s="893" t="str">
        <f>IF('Fund Financial Stmt Template'!E3="","",'Fund Financial Stmt Template'!E3)</f>
        <v/>
      </c>
      <c r="F3" s="1163"/>
      <c r="G3" s="1164"/>
    </row>
    <row r="4" spans="1:22" ht="12.75" customHeight="1">
      <c r="A4" s="911" t="s">
        <v>420</v>
      </c>
      <c r="B4" s="960"/>
      <c r="C4" s="960"/>
      <c r="D4" s="960"/>
      <c r="E4" s="905" t="str">
        <f>IF('Fund Financial Stmt Template'!E4="","",'Fund Financial Stmt Template'!E4)</f>
        <v/>
      </c>
      <c r="F4" s="1063"/>
      <c r="G4" s="1064"/>
    </row>
    <row r="5" spans="1:22" ht="12.75" customHeight="1">
      <c r="A5" s="911" t="s">
        <v>421</v>
      </c>
      <c r="B5" s="960"/>
      <c r="C5" s="960"/>
      <c r="D5" s="960"/>
      <c r="E5" s="1167" t="str">
        <f>IF('Fund Financial Stmt Template'!E5="","",'Fund Financial Stmt Template'!E5)</f>
        <v/>
      </c>
      <c r="F5" s="1049"/>
      <c r="G5" s="1050"/>
    </row>
    <row r="6" spans="1:22" ht="12.75" customHeight="1">
      <c r="A6" s="911" t="s">
        <v>418</v>
      </c>
      <c r="B6" s="960"/>
      <c r="C6" s="960"/>
      <c r="D6" s="960"/>
      <c r="E6" s="920" t="str">
        <f>IF('Fund Financial Stmt Template'!E6="","",'Fund Financial Stmt Template'!E6)</f>
        <v/>
      </c>
      <c r="F6" s="923"/>
      <c r="G6" s="924"/>
    </row>
    <row r="7" spans="1:22" ht="12.75" customHeight="1">
      <c r="A7" s="188"/>
      <c r="E7" s="186"/>
      <c r="F7" s="185"/>
      <c r="Q7" s="185"/>
    </row>
    <row r="8" spans="1:22" ht="30" customHeight="1">
      <c r="A8" s="911" t="s">
        <v>491</v>
      </c>
      <c r="B8" s="960"/>
      <c r="C8" s="960"/>
      <c r="D8" s="960"/>
      <c r="E8" s="1157" t="str">
        <f>IF('Fund Financial Stmt Template'!E8="","",'Fund Financial Stmt Template'!E8)</f>
        <v/>
      </c>
      <c r="F8" s="1158"/>
      <c r="G8" s="1159"/>
    </row>
    <row r="9" spans="1:22" ht="12.75" customHeight="1">
      <c r="A9" s="188"/>
      <c r="E9" s="187"/>
      <c r="F9" s="185"/>
    </row>
    <row r="10" spans="1:22" ht="12.75" customHeight="1">
      <c r="A10" s="188" t="s">
        <v>272</v>
      </c>
      <c r="F10" s="185"/>
    </row>
    <row r="11" spans="1:22" ht="12.75" customHeight="1">
      <c r="A11" s="192" t="str">
        <f>'Tab 2-Receivables'!A11</f>
        <v>For the Year Ended June 30, 2024</v>
      </c>
      <c r="F11" s="185"/>
    </row>
    <row r="12" spans="1:22" ht="12.75" customHeight="1">
      <c r="A12" s="192"/>
      <c r="F12" s="185"/>
    </row>
    <row r="13" spans="1:22" ht="12.75" customHeight="1">
      <c r="A13" s="192"/>
      <c r="E13" s="822" t="s">
        <v>672</v>
      </c>
      <c r="F13" s="823"/>
      <c r="G13" s="213">
        <f>E203</f>
        <v>0</v>
      </c>
    </row>
    <row r="14" spans="1:22" ht="12.75" customHeight="1">
      <c r="E14" s="822" t="s">
        <v>671</v>
      </c>
      <c r="F14" s="823"/>
      <c r="G14" s="213">
        <f>E204</f>
        <v>1000</v>
      </c>
    </row>
    <row r="15" spans="1:22" ht="33.75" customHeight="1" thickBot="1">
      <c r="A15" s="193"/>
      <c r="F15" s="196"/>
      <c r="G15" s="195" t="s">
        <v>85</v>
      </c>
      <c r="H15" s="196"/>
      <c r="I15" s="782"/>
      <c r="J15" s="195" t="s">
        <v>86</v>
      </c>
      <c r="L15" s="195" t="s">
        <v>108</v>
      </c>
      <c r="N15" s="195" t="s">
        <v>83</v>
      </c>
      <c r="P15" s="195" t="s">
        <v>84</v>
      </c>
      <c r="Q15" s="185"/>
      <c r="R15" s="185"/>
    </row>
    <row r="16" spans="1:22" ht="12.75" customHeight="1">
      <c r="A16" s="189" t="s">
        <v>644</v>
      </c>
      <c r="F16" s="185"/>
      <c r="I16" s="782"/>
      <c r="Q16" s="185"/>
      <c r="R16" s="185"/>
      <c r="V16" s="782"/>
    </row>
    <row r="17" spans="1:22" ht="12.75" customHeight="1">
      <c r="A17" s="189" t="s">
        <v>363</v>
      </c>
      <c r="F17" s="185"/>
      <c r="I17" s="782"/>
      <c r="N17" s="824"/>
      <c r="Q17" s="185"/>
      <c r="R17" s="185"/>
      <c r="V17" s="782"/>
    </row>
    <row r="18" spans="1:22">
      <c r="B18" s="185" t="s">
        <v>457</v>
      </c>
      <c r="E18" s="825"/>
      <c r="F18" s="199"/>
      <c r="G18" s="201">
        <f>'Fund Financial Stmt Template'!O19</f>
        <v>0</v>
      </c>
      <c r="H18" s="199"/>
      <c r="I18" s="782"/>
      <c r="J18" s="201" t="str">
        <f>IF(ISNA(HLOOKUP($E$8,Hlookup!$E$1:$AF$140,3,FALSE)),"",(HLOOKUP($E$8,Hlookup!$E$1:$AF$140,3,FALSE)))</f>
        <v/>
      </c>
      <c r="L18" s="201">
        <f>IF(ISERR(G18-J18),0,(G18-J18))</f>
        <v>0</v>
      </c>
      <c r="N18" s="480" t="str">
        <f t="shared" ref="N18:N23" si="0">IF($E$8="","",IF(AND(G18=0,J18=0),"",IF(ISERR((L18/ABS(J18))),"100%",L18/ABS(J18))))</f>
        <v/>
      </c>
      <c r="P18" s="110"/>
      <c r="Q18" s="185"/>
      <c r="V18" s="782"/>
    </row>
    <row r="19" spans="1:22">
      <c r="B19" s="185" t="s">
        <v>346</v>
      </c>
      <c r="E19" s="825"/>
      <c r="F19" s="199"/>
      <c r="G19" s="201">
        <f>'Fund Financial Stmt Template'!O20</f>
        <v>0</v>
      </c>
      <c r="H19" s="199"/>
      <c r="I19" s="782"/>
      <c r="J19" s="201" t="str">
        <f>IF(ISNA(HLOOKUP($E$8,Hlookup!$E$1:$AF$140,4,FALSE)),"",(HLOOKUP($E$8,Hlookup!$E$1:$AF$140,4,FALSE)))</f>
        <v/>
      </c>
      <c r="L19" s="201">
        <f>IF(ISERR(G19-J19),0,(G19-J19))</f>
        <v>0</v>
      </c>
      <c r="N19" s="480" t="str">
        <f t="shared" si="0"/>
        <v/>
      </c>
      <c r="P19" s="110"/>
      <c r="Q19" s="185"/>
      <c r="R19" s="185"/>
      <c r="V19" s="782"/>
    </row>
    <row r="20" spans="1:22">
      <c r="B20" s="185" t="s">
        <v>133</v>
      </c>
      <c r="E20" s="822"/>
      <c r="F20" s="199"/>
      <c r="G20" s="201">
        <f>'Fund Financial Stmt Template'!O21</f>
        <v>0</v>
      </c>
      <c r="H20" s="199"/>
      <c r="I20" s="782"/>
      <c r="J20" s="201" t="str">
        <f>IF(ISNA(HLOOKUP($E$8,Hlookup!$E$1:$AF$140,5,FALSE)),"",(HLOOKUP($E$8,Hlookup!$E$1:$AF$140,5,FALSE)))</f>
        <v/>
      </c>
      <c r="L20" s="201">
        <f>IF(ISERR(G20-J20),0,(G20-J20))</f>
        <v>0</v>
      </c>
      <c r="N20" s="480" t="str">
        <f t="shared" si="0"/>
        <v/>
      </c>
      <c r="P20" s="110"/>
      <c r="Q20" s="185"/>
      <c r="R20" s="185"/>
      <c r="V20" s="782"/>
    </row>
    <row r="21" spans="1:22">
      <c r="B21" s="185" t="s">
        <v>277</v>
      </c>
      <c r="C21" s="206"/>
      <c r="E21" s="825"/>
      <c r="F21" s="199"/>
      <c r="G21" s="201">
        <f>'Fund Financial Stmt Template'!O22</f>
        <v>0</v>
      </c>
      <c r="H21" s="199"/>
      <c r="I21" s="782"/>
      <c r="J21" s="201" t="str">
        <f>IF(ISNA(HLOOKUP($E$8,Hlookup!$E$1:$AF$140,6,FALSE)),"",(HLOOKUP($E$8,Hlookup!$E$1:$AF$140,6,FALSE)))</f>
        <v/>
      </c>
      <c r="L21" s="201">
        <f>IF(ISERR(G21-J21),0,(G21-J21))</f>
        <v>0</v>
      </c>
      <c r="N21" s="480" t="str">
        <f t="shared" si="0"/>
        <v/>
      </c>
      <c r="P21" s="110"/>
      <c r="Q21" s="185"/>
      <c r="R21" s="185"/>
      <c r="V21" s="782"/>
    </row>
    <row r="22" spans="1:22">
      <c r="B22" s="185" t="s">
        <v>360</v>
      </c>
      <c r="E22" s="825"/>
      <c r="F22" s="199"/>
      <c r="G22" s="201">
        <f>'Fund Financial Stmt Template'!O23</f>
        <v>0</v>
      </c>
      <c r="H22" s="199"/>
      <c r="I22" s="782"/>
      <c r="J22" s="201" t="str">
        <f>IF(ISNA(HLOOKUP($E$8,Hlookup!$E$1:$AF$140,7,FALSE)),"",(HLOOKUP($E$8,Hlookup!$E$1:$AF$140,7,FALSE)))</f>
        <v/>
      </c>
      <c r="L22" s="201">
        <f>IF(ISERR(G22-J22),0,(G22-J22))</f>
        <v>0</v>
      </c>
      <c r="N22" s="480" t="str">
        <f t="shared" si="0"/>
        <v/>
      </c>
      <c r="P22" s="110"/>
      <c r="Q22" s="185"/>
      <c r="R22" s="185"/>
      <c r="V22" s="782"/>
    </row>
    <row r="23" spans="1:22" s="230" customFormat="1" ht="12.75" hidden="1" customHeight="1">
      <c r="C23" s="247" t="s">
        <v>364</v>
      </c>
      <c r="E23" s="826"/>
      <c r="F23" s="574"/>
      <c r="G23" s="575">
        <f>IF(SUM(G18:G22)=SUM('Fund Financial Stmt Template'!O24),SUM(G18:G22),"ERROR")</f>
        <v>0</v>
      </c>
      <c r="H23" s="574"/>
      <c r="I23" s="440"/>
      <c r="J23" s="575">
        <f>SUM(J18:J22)</f>
        <v>0</v>
      </c>
      <c r="L23" s="575">
        <f>SUM(L18:L22)</f>
        <v>0</v>
      </c>
      <c r="N23" s="576" t="str">
        <f t="shared" si="0"/>
        <v/>
      </c>
      <c r="P23" s="577"/>
      <c r="V23" s="440"/>
    </row>
    <row r="24" spans="1:22" s="230" customFormat="1" ht="7.5" hidden="1" customHeight="1" thickBot="1">
      <c r="C24" s="247"/>
      <c r="E24" s="826"/>
      <c r="F24" s="574"/>
      <c r="G24" s="574"/>
      <c r="H24" s="574"/>
      <c r="I24" s="440"/>
      <c r="J24" s="574"/>
      <c r="L24" s="574"/>
      <c r="N24" s="578"/>
      <c r="P24" s="574"/>
      <c r="V24" s="440"/>
    </row>
    <row r="25" spans="1:22" s="230" customFormat="1" ht="13.5" hidden="1" thickBot="1">
      <c r="C25" s="247"/>
      <c r="E25" s="827" t="s">
        <v>309</v>
      </c>
      <c r="F25" s="574"/>
      <c r="G25" s="579">
        <f>(SUM(G18:G22))-'Fund Financial Stmt Template'!O24</f>
        <v>0</v>
      </c>
      <c r="H25" s="574"/>
      <c r="I25" s="440"/>
      <c r="J25" s="574"/>
      <c r="L25" s="574"/>
      <c r="N25" s="578"/>
      <c r="P25" s="574"/>
      <c r="V25" s="440"/>
    </row>
    <row r="26" spans="1:22" ht="13.5" customHeight="1">
      <c r="E26" s="822"/>
      <c r="F26" s="199"/>
      <c r="G26" s="204"/>
      <c r="H26" s="199"/>
      <c r="I26" s="782"/>
      <c r="J26" s="204"/>
      <c r="L26" s="204"/>
      <c r="N26" s="482"/>
      <c r="P26" s="204"/>
      <c r="Q26" s="185"/>
      <c r="R26" s="185"/>
      <c r="V26" s="782"/>
    </row>
    <row r="27" spans="1:22">
      <c r="B27" s="185" t="s">
        <v>443</v>
      </c>
      <c r="E27" s="822"/>
      <c r="F27" s="199"/>
      <c r="G27" s="201">
        <f>'Fund Financial Stmt Template'!O26</f>
        <v>0</v>
      </c>
      <c r="H27" s="199"/>
      <c r="I27" s="782"/>
      <c r="J27" s="201" t="str">
        <f>IF(ISNA(HLOOKUP($E$8,Hlookup!$E$1:$AF$140,10,FALSE)),"",(HLOOKUP($E$8,Hlookup!$E$1:$AF$140,10,FALSE)))</f>
        <v/>
      </c>
      <c r="L27" s="201">
        <f>IF(ISERR(G27-J27),0,(G27-J27))</f>
        <v>0</v>
      </c>
      <c r="N27" s="480" t="str">
        <f>IF($E$8="","",IF(AND(G27=0,J27=0),"",IF(ISERR((L27/ABS(J27))),"100%",L27/ABS(J27))))</f>
        <v/>
      </c>
      <c r="P27" s="486"/>
      <c r="Q27" s="185"/>
      <c r="R27" s="185"/>
      <c r="V27" s="782"/>
    </row>
    <row r="28" spans="1:22">
      <c r="B28" s="185" t="s">
        <v>361</v>
      </c>
      <c r="E28" s="825"/>
      <c r="F28" s="199"/>
      <c r="G28" s="201">
        <f>'Fund Financial Stmt Template'!O27</f>
        <v>0</v>
      </c>
      <c r="H28" s="199"/>
      <c r="I28" s="782"/>
      <c r="J28" s="201" t="str">
        <f>IF(ISNA(HLOOKUP($E$8,Hlookup!$E$1:$AF$140,11,FALSE)),"",(HLOOKUP($E$8,Hlookup!$E$1:$AF$140,11,FALSE)))</f>
        <v/>
      </c>
      <c r="L28" s="201">
        <f>IF(ISERR(G28-J28),0,(G28-J28))</f>
        <v>0</v>
      </c>
      <c r="N28" s="480" t="str">
        <f>IF($E$8="","",IF(AND(G28=0,J28=0),"",IF(ISERR((L28/ABS(J28))),"100%",L28/ABS(J28))))</f>
        <v/>
      </c>
      <c r="P28" s="486"/>
      <c r="Q28" s="185"/>
      <c r="R28" s="185"/>
      <c r="V28" s="782"/>
    </row>
    <row r="29" spans="1:22" ht="12.75" hidden="1" customHeight="1">
      <c r="C29" s="203" t="s">
        <v>366</v>
      </c>
      <c r="E29" s="825"/>
      <c r="F29" s="199"/>
      <c r="G29" s="201">
        <f>IF(SUM(G27:G28)=SUM('Fund Financial Stmt Template'!O28),SUM(G27:G28),"ERROR")</f>
        <v>0</v>
      </c>
      <c r="H29" s="199"/>
      <c r="I29" s="782"/>
      <c r="J29" s="201">
        <f>SUM(J27:J28)</f>
        <v>0</v>
      </c>
      <c r="L29" s="201">
        <f>SUM(L27:L28)</f>
        <v>0</v>
      </c>
      <c r="N29" s="480" t="str">
        <f>IF($E$8="","",IF(AND(G29=0,J29=0),"",IF(ISERR((L29/ABS(J29))),"100%",L29/ABS(J29))))</f>
        <v/>
      </c>
      <c r="P29" s="199"/>
      <c r="Q29" s="185"/>
      <c r="R29" s="185"/>
      <c r="V29" s="782"/>
    </row>
    <row r="30" spans="1:22" ht="6" customHeight="1">
      <c r="C30" s="203"/>
      <c r="E30" s="825"/>
      <c r="F30" s="199"/>
      <c r="G30" s="199"/>
      <c r="H30" s="199"/>
      <c r="I30" s="782"/>
      <c r="J30" s="199"/>
      <c r="L30" s="199"/>
      <c r="N30" s="483"/>
      <c r="P30" s="199"/>
      <c r="Q30" s="185"/>
      <c r="R30" s="185"/>
      <c r="V30" s="782"/>
    </row>
    <row r="31" spans="1:22" s="230" customFormat="1" ht="12.75" hidden="1" customHeight="1" thickBot="1">
      <c r="C31" s="247"/>
      <c r="E31" s="827" t="s">
        <v>309</v>
      </c>
      <c r="F31" s="574"/>
      <c r="G31" s="579">
        <f>(SUM(G27:G28))-'Fund Financial Stmt Template'!O28</f>
        <v>0</v>
      </c>
      <c r="H31" s="574"/>
      <c r="I31" s="440"/>
      <c r="J31" s="574"/>
      <c r="L31" s="574"/>
      <c r="N31" s="580"/>
      <c r="P31" s="574"/>
      <c r="V31" s="440"/>
    </row>
    <row r="32" spans="1:22" ht="11.25" customHeight="1">
      <c r="C32" s="206"/>
      <c r="E32" s="822"/>
      <c r="F32" s="199"/>
      <c r="G32" s="204"/>
      <c r="H32" s="199"/>
      <c r="I32" s="782"/>
      <c r="J32" s="204"/>
      <c r="L32" s="204"/>
      <c r="N32" s="482"/>
      <c r="P32" s="204"/>
      <c r="Q32" s="185"/>
      <c r="R32" s="185"/>
      <c r="V32" s="782"/>
    </row>
    <row r="33" spans="2:22">
      <c r="B33" s="185" t="s">
        <v>3081</v>
      </c>
      <c r="C33" s="206"/>
      <c r="E33" s="822"/>
      <c r="F33" s="199"/>
      <c r="G33" s="201">
        <f>'Fund Financial Stmt Template'!O30</f>
        <v>0</v>
      </c>
      <c r="H33" s="199"/>
      <c r="I33" s="782"/>
      <c r="J33" s="201" t="str">
        <f>IF(ISNA(HLOOKUP($E$8,Hlookup!$E$1:$AF$140,14,FALSE)),"",(HLOOKUP($E$8,Hlookup!$E$1:$AF$140,14,FALSE)))</f>
        <v/>
      </c>
      <c r="L33" s="201">
        <f>IF(ISERR(G33-J33),0,(G33-J33))</f>
        <v>0</v>
      </c>
      <c r="N33" s="480" t="str">
        <f>IF($E$8="","",IF(AND(G33=0,J33=0),"",IF(ISERR((L33/ABS(J33))),"100%",L33/ABS(J33))))</f>
        <v/>
      </c>
      <c r="P33" s="486"/>
      <c r="Q33" s="185"/>
      <c r="R33" s="185"/>
      <c r="V33" s="782"/>
    </row>
    <row r="34" spans="2:22" ht="15" customHeight="1">
      <c r="C34" s="206"/>
      <c r="E34" s="822"/>
      <c r="F34" s="199"/>
      <c r="G34" s="204"/>
      <c r="H34" s="199"/>
      <c r="I34" s="782"/>
      <c r="J34" s="204"/>
      <c r="L34" s="204"/>
      <c r="N34" s="482"/>
      <c r="P34" s="204"/>
      <c r="Q34" s="185"/>
      <c r="R34" s="185"/>
      <c r="V34" s="782"/>
    </row>
    <row r="35" spans="2:22">
      <c r="B35" s="185" t="s">
        <v>297</v>
      </c>
      <c r="E35" s="825"/>
      <c r="F35" s="199"/>
      <c r="G35" s="201">
        <f>'Fund Financial Stmt Template'!O32</f>
        <v>0</v>
      </c>
      <c r="H35" s="199"/>
      <c r="I35" s="782"/>
      <c r="J35" s="201" t="str">
        <f>IF(ISNA(HLOOKUP($E$8,Hlookup!$E$1:$AF$140,16,FALSE)),"",(HLOOKUP($E$8,Hlookup!$E$1:$AF$140,16,FALSE)))</f>
        <v/>
      </c>
      <c r="L35" s="201">
        <f>IF(ISERR(G35-J35),0,(G35-J35))</f>
        <v>0</v>
      </c>
      <c r="N35" s="480" t="str">
        <f>IF($E$8="","",IF(AND(G35=0,J35=0),"",IF(ISERR((L35/ABS(J35))),"100%",L35/ABS(J35))))</f>
        <v/>
      </c>
      <c r="P35" s="486"/>
      <c r="Q35" s="185"/>
      <c r="R35" s="185"/>
    </row>
    <row r="36" spans="2:22">
      <c r="B36" s="781" t="s">
        <v>2833</v>
      </c>
      <c r="E36" s="825"/>
      <c r="F36" s="199"/>
      <c r="G36" s="201">
        <f>'Fund Financial Stmt Template'!O33</f>
        <v>0</v>
      </c>
      <c r="H36" s="199"/>
      <c r="I36" s="782"/>
      <c r="J36" s="201" t="str">
        <f>IF(ISNA(HLOOKUP($E$8,Hlookup!$E$1:$AF$140,17,FALSE)),"",(HLOOKUP($E$8,Hlookup!$E$1:$AF$140,17,FALSE)))</f>
        <v/>
      </c>
      <c r="L36" s="201">
        <f t="shared" ref="L36:L37" si="1">IF(ISERR(G36-J36),0,(G36-J36))</f>
        <v>0</v>
      </c>
      <c r="N36" s="480" t="str">
        <f t="shared" ref="N36:N37" si="2">IF($E$8="","",IF(AND(G36=0,J36=0),"",IF(ISERR((L36/ABS(J36))),"100%",L36/ABS(J36))))</f>
        <v/>
      </c>
      <c r="P36" s="486"/>
      <c r="Q36" s="185"/>
      <c r="R36" s="185"/>
    </row>
    <row r="37" spans="2:22">
      <c r="B37" s="781" t="s">
        <v>2834</v>
      </c>
      <c r="E37" s="825"/>
      <c r="F37" s="199"/>
      <c r="G37" s="201">
        <f>'Fund Financial Stmt Template'!O34</f>
        <v>0</v>
      </c>
      <c r="H37" s="199"/>
      <c r="I37" s="782"/>
      <c r="J37" s="201" t="str">
        <f>IF(ISNA(HLOOKUP($E$8,Hlookup!$E$1:$AF$140,18,FALSE)),"",(HLOOKUP($E$8,Hlookup!$E$1:$AF$140,18,FALSE)))</f>
        <v/>
      </c>
      <c r="L37" s="201">
        <f t="shared" si="1"/>
        <v>0</v>
      </c>
      <c r="N37" s="480" t="str">
        <f t="shared" si="2"/>
        <v/>
      </c>
      <c r="P37" s="486"/>
      <c r="Q37" s="185"/>
      <c r="R37" s="185"/>
    </row>
    <row r="38" spans="2:22">
      <c r="B38" s="185" t="s">
        <v>286</v>
      </c>
      <c r="E38" s="825"/>
      <c r="F38" s="199"/>
      <c r="G38" s="201">
        <f>'Fund Financial Stmt Template'!O35</f>
        <v>0</v>
      </c>
      <c r="H38" s="199"/>
      <c r="I38" s="782"/>
      <c r="J38" s="201" t="str">
        <f>IF(ISNA(HLOOKUP($E$8,Hlookup!$E$1:$AF$140,19,FALSE)),"",(HLOOKUP($E$8,Hlookup!$E$1:$AF$140,19,FALSE)))</f>
        <v/>
      </c>
      <c r="L38" s="201">
        <f>IF(ISERR(G38-J38),0,(G38-J38))</f>
        <v>0</v>
      </c>
      <c r="N38" s="480" t="str">
        <f>IF($E$8="","",IF(AND(G38=0,J38=0),"",IF(ISERR((L38/ABS(J38))),"100%",L38/ABS(J38))))</f>
        <v/>
      </c>
      <c r="P38" s="486"/>
      <c r="Q38" s="185"/>
      <c r="R38" s="185"/>
    </row>
    <row r="39" spans="2:22" s="230" customFormat="1" ht="12.75" hidden="1" customHeight="1">
      <c r="C39" s="247" t="s">
        <v>365</v>
      </c>
      <c r="E39" s="826"/>
      <c r="F39" s="574"/>
      <c r="G39" s="575">
        <f>IF(SUM(G35:G38)=SUM('Fund Financial Stmt Template'!O36),SUM(G35:G38),"ERROR")</f>
        <v>0</v>
      </c>
      <c r="H39" s="574"/>
      <c r="I39" s="440"/>
      <c r="J39" s="575">
        <f>SUM(J35:J38)</f>
        <v>0</v>
      </c>
      <c r="L39" s="575">
        <f>SUM(L35:L38)</f>
        <v>0</v>
      </c>
      <c r="N39" s="576" t="str">
        <f>IF($E$8="","",IF(AND(G39=0,J39=0),"",IF(ISERR((L39/ABS(J39))),"100%",L39/ABS(J39))))</f>
        <v/>
      </c>
      <c r="P39" s="574"/>
    </row>
    <row r="40" spans="2:22" s="230" customFormat="1" ht="4.5" hidden="1" customHeight="1" thickBot="1">
      <c r="C40" s="247"/>
      <c r="E40" s="826"/>
      <c r="F40" s="574"/>
      <c r="G40" s="574"/>
      <c r="H40" s="574"/>
      <c r="I40" s="440"/>
      <c r="J40" s="574"/>
      <c r="L40" s="574"/>
      <c r="N40" s="578"/>
      <c r="P40" s="574"/>
    </row>
    <row r="41" spans="2:22" s="230" customFormat="1" ht="12.75" hidden="1" customHeight="1" thickBot="1">
      <c r="C41" s="247"/>
      <c r="E41" s="827" t="s">
        <v>309</v>
      </c>
      <c r="F41" s="574"/>
      <c r="G41" s="579">
        <f>(SUM(G35:G38))-'Fund Financial Stmt Template'!O36</f>
        <v>0</v>
      </c>
      <c r="H41" s="574"/>
      <c r="I41" s="440"/>
      <c r="J41" s="574"/>
      <c r="L41" s="574"/>
      <c r="N41" s="578"/>
      <c r="P41" s="574"/>
    </row>
    <row r="42" spans="2:22" ht="6" customHeight="1">
      <c r="E42" s="822"/>
      <c r="F42" s="199"/>
      <c r="G42" s="204"/>
      <c r="H42" s="199"/>
      <c r="I42" s="782"/>
      <c r="J42" s="204"/>
      <c r="L42" s="204"/>
      <c r="N42" s="482"/>
      <c r="P42" s="204"/>
      <c r="Q42" s="185"/>
      <c r="R42" s="185"/>
    </row>
    <row r="43" spans="2:22">
      <c r="B43" s="203" t="s">
        <v>66</v>
      </c>
      <c r="E43" s="825"/>
      <c r="F43" s="199"/>
      <c r="G43" s="201">
        <f>'Fund Financial Stmt Template'!O38</f>
        <v>0</v>
      </c>
      <c r="H43" s="199"/>
      <c r="I43" s="782"/>
      <c r="J43" s="201" t="str">
        <f>IF(ISNA(HLOOKUP($E$8,Hlookup!$E$1:$AF$140,22,FALSE)),"",(HLOOKUP($E$8,Hlookup!$E$1:$AF$140,22,FALSE)))</f>
        <v/>
      </c>
      <c r="L43" s="201">
        <f>IF(ISERR(G43-J43),0,(G43-J43))</f>
        <v>0</v>
      </c>
      <c r="N43" s="480" t="str">
        <f>IF($E$8="","",IF(AND(G43=0,J43=0),"",IF(ISERR((L43/ABS(J43))),"100%",L43/ABS(J43))))</f>
        <v/>
      </c>
      <c r="P43" s="486"/>
      <c r="Q43" s="185"/>
      <c r="R43" s="185"/>
    </row>
    <row r="44" spans="2:22">
      <c r="B44" s="203" t="s">
        <v>67</v>
      </c>
      <c r="E44" s="825"/>
      <c r="F44" s="199"/>
      <c r="G44" s="201">
        <f>'Fund Financial Stmt Template'!O39</f>
        <v>0</v>
      </c>
      <c r="H44" s="199"/>
      <c r="I44" s="782"/>
      <c r="J44" s="201" t="str">
        <f>IF(ISNA(HLOOKUP($E$8,Hlookup!$E$1:$AF$140,23,FALSE)),"",(HLOOKUP($E$8,Hlookup!$E$1:$AF$140,23,FALSE)))</f>
        <v/>
      </c>
      <c r="L44" s="201">
        <f>IF(ISERR(G44-J44),0,(G44-J44))</f>
        <v>0</v>
      </c>
      <c r="N44" s="480" t="str">
        <f>IF($E$8="","",IF(AND(G44=0,J44=0),"",IF(ISERR((L44/ABS(J44))),"100%",L44/ABS(J44))))</f>
        <v/>
      </c>
      <c r="P44" s="486"/>
      <c r="Q44" s="185"/>
      <c r="R44" s="185"/>
    </row>
    <row r="45" spans="2:22">
      <c r="B45" s="203" t="s">
        <v>347</v>
      </c>
      <c r="E45" s="825"/>
      <c r="F45" s="199"/>
      <c r="G45" s="201">
        <f>'Fund Financial Stmt Template'!O40</f>
        <v>0</v>
      </c>
      <c r="H45" s="199"/>
      <c r="I45" s="782"/>
      <c r="J45" s="201" t="str">
        <f>IF(ISNA(HLOOKUP($E$8,Hlookup!$E$1:$AF$140,24,FALSE)),"",(HLOOKUP($E$8,Hlookup!$E$1:$AF$140,24,FALSE)))</f>
        <v/>
      </c>
      <c r="L45" s="201">
        <f>IF(ISERR(G45-J45),0,(G45-J45))</f>
        <v>0</v>
      </c>
      <c r="N45" s="480" t="str">
        <f>IF($E$8="","",IF(AND(G45=0,J45=0),"",IF(ISERR((L45/ABS(J45))),"100%",L45/ABS(J45))))</f>
        <v/>
      </c>
      <c r="P45" s="486"/>
      <c r="Q45" s="185"/>
      <c r="R45" s="185"/>
    </row>
    <row r="46" spans="2:22">
      <c r="B46" s="203" t="s">
        <v>348</v>
      </c>
      <c r="E46" s="822"/>
      <c r="F46" s="199"/>
      <c r="G46" s="201">
        <f>'Fund Financial Stmt Template'!O41</f>
        <v>0</v>
      </c>
      <c r="H46" s="199"/>
      <c r="I46" s="782"/>
      <c r="J46" s="201" t="str">
        <f>IF(ISNA(HLOOKUP($E$8,Hlookup!$E$1:$AF$140,25,FALSE)),"",(HLOOKUP($E$8,Hlookup!$E$1:$AF$140,25,FALSE)))</f>
        <v/>
      </c>
      <c r="L46" s="201">
        <f>IF(ISERR(G46-J46),0,(G46-J46))</f>
        <v>0</v>
      </c>
      <c r="N46" s="480" t="str">
        <f>IF($E$8="","",IF(AND(G46=0,J46=0),"",IF(ISERR((L46/ABS(J46))),"100%",L46/ABS(J46))))</f>
        <v/>
      </c>
      <c r="P46" s="486"/>
      <c r="Q46" s="185"/>
      <c r="R46" s="185"/>
    </row>
    <row r="47" spans="2:22" ht="12.75" customHeight="1">
      <c r="E47" s="822"/>
      <c r="F47" s="199"/>
      <c r="G47" s="249"/>
      <c r="H47" s="199"/>
      <c r="I47" s="782"/>
      <c r="J47" s="204"/>
      <c r="L47" s="204"/>
      <c r="N47" s="482"/>
      <c r="P47" s="204"/>
      <c r="Q47" s="185"/>
      <c r="R47" s="185"/>
    </row>
    <row r="48" spans="2:22">
      <c r="B48" s="185" t="s">
        <v>2851</v>
      </c>
      <c r="C48" s="203"/>
      <c r="E48" s="822"/>
      <c r="F48" s="199"/>
      <c r="G48" s="201">
        <f>'Fund Financial Stmt Template'!O43</f>
        <v>0</v>
      </c>
      <c r="H48" s="199"/>
      <c r="I48" s="782"/>
      <c r="J48" s="201" t="str">
        <f>IF(ISNA(HLOOKUP($E$8,Hlookup!$E$1:$AF$140,27,FALSE)),"",(HLOOKUP($E$8,Hlookup!$E$1:$AF$140,27,FALSE)))</f>
        <v/>
      </c>
      <c r="L48" s="201">
        <f>IF(ISERR(G48-J48),0,(G48-J48))</f>
        <v>0</v>
      </c>
      <c r="N48" s="480" t="str">
        <f t="shared" ref="N48:N53" si="3">IF($E$8="","",IF(AND(G48=0,J48=0),"",IF(ISERR((L48/ABS(J48))),"100%",L48/ABS(J48))))</f>
        <v/>
      </c>
      <c r="P48" s="486"/>
      <c r="Q48" s="185"/>
      <c r="R48" s="185"/>
    </row>
    <row r="49" spans="1:22">
      <c r="B49" s="185" t="s">
        <v>2850</v>
      </c>
      <c r="C49" s="203"/>
      <c r="E49" s="822"/>
      <c r="F49" s="199"/>
      <c r="G49" s="201">
        <f>'Fund Financial Stmt Template'!O44</f>
        <v>0</v>
      </c>
      <c r="H49" s="199"/>
      <c r="I49" s="782"/>
      <c r="J49" s="201" t="str">
        <f>IF(ISNA(HLOOKUP($E$8,Hlookup!$E$1:$AF$140,28,FALSE)),"",(HLOOKUP($E$8,Hlookup!$E$1:$AF$140,28,FALSE)))</f>
        <v/>
      </c>
      <c r="L49" s="201">
        <f>IF(ISERR(G49-J49),0,(G49-J49))</f>
        <v>0</v>
      </c>
      <c r="N49" s="480" t="str">
        <f t="shared" si="3"/>
        <v/>
      </c>
      <c r="P49" s="486"/>
      <c r="Q49" s="185"/>
      <c r="R49" s="185"/>
    </row>
    <row r="50" spans="1:22">
      <c r="B50" s="185" t="s">
        <v>345</v>
      </c>
      <c r="C50" s="203"/>
      <c r="E50" s="186"/>
      <c r="F50" s="199"/>
      <c r="G50" s="201">
        <f>'Fund Financial Stmt Template'!O45</f>
        <v>0</v>
      </c>
      <c r="H50" s="199"/>
      <c r="I50" s="782"/>
      <c r="J50" s="201" t="str">
        <f>IF(ISNA(HLOOKUP($E$8,Hlookup!$E$1:$AF$140,29,FALSE)),"",(HLOOKUP($E$8,Hlookup!$E$1:$AF$140,29,FALSE)))</f>
        <v/>
      </c>
      <c r="L50" s="201">
        <f>IF(ISERR(G50-J50),0,(G50-J50))</f>
        <v>0</v>
      </c>
      <c r="N50" s="480" t="str">
        <f t="shared" si="3"/>
        <v/>
      </c>
      <c r="P50" s="486"/>
      <c r="Q50" s="185"/>
      <c r="R50" s="185"/>
    </row>
    <row r="51" spans="1:22" ht="12.75" hidden="1" customHeight="1">
      <c r="B51" s="230" t="s">
        <v>349</v>
      </c>
      <c r="E51" s="186"/>
      <c r="F51" s="199"/>
      <c r="G51" s="201">
        <f>'Fund Financial Stmt Template'!O46</f>
        <v>0</v>
      </c>
      <c r="H51" s="199"/>
      <c r="I51" s="782"/>
      <c r="J51" s="201" t="str">
        <f>IF(ISNA(HLOOKUP($E$8,Hlookup!$F$1:$AF$140,30,FALSE)),"",(HLOOKUP($E$8,Hlookup!$F$1:$AF$140,30,FALSE)))</f>
        <v/>
      </c>
      <c r="L51" s="201" t="str">
        <f>IF(ISERR(G51-J51),"",(G51-J51))</f>
        <v/>
      </c>
      <c r="N51" s="480" t="str">
        <f t="shared" si="3"/>
        <v/>
      </c>
      <c r="P51" s="486"/>
      <c r="Q51" s="185"/>
      <c r="R51" s="185"/>
    </row>
    <row r="52" spans="1:22">
      <c r="B52" s="185" t="s">
        <v>459</v>
      </c>
      <c r="E52" s="186"/>
      <c r="F52" s="199"/>
      <c r="G52" s="201">
        <f>'Fund Financial Stmt Template'!O47</f>
        <v>0</v>
      </c>
      <c r="H52" s="199"/>
      <c r="I52" s="782"/>
      <c r="J52" s="201" t="str">
        <f>IF(ISNA(HLOOKUP($E$8,Hlookup!$E$1:$AF$140,31,FALSE)),"",(HLOOKUP($E$8,Hlookup!$E$1:$AF$140,31,FALSE)))</f>
        <v/>
      </c>
      <c r="L52" s="201">
        <f>IF(ISERR(G52-J52),0,(G52-J52))</f>
        <v>0</v>
      </c>
      <c r="N52" s="480" t="str">
        <f t="shared" si="3"/>
        <v/>
      </c>
      <c r="P52" s="486"/>
      <c r="Q52" s="185"/>
      <c r="R52" s="185"/>
      <c r="V52" s="213"/>
    </row>
    <row r="53" spans="1:22" s="230" customFormat="1" ht="12.75" hidden="1" customHeight="1">
      <c r="C53" s="247" t="s">
        <v>368</v>
      </c>
      <c r="F53" s="574"/>
      <c r="G53" s="575">
        <f>IF(SUM(G48:G50,G52)='Fund Financial Stmt Template'!O48,SUM(G48:G50,G52),"ERROR")</f>
        <v>0</v>
      </c>
      <c r="H53" s="574"/>
      <c r="I53" s="440"/>
      <c r="J53" s="575">
        <f>SUM(J48:J50,J52)</f>
        <v>0</v>
      </c>
      <c r="L53" s="575">
        <f>SUM(L48:L50,L52)</f>
        <v>0</v>
      </c>
      <c r="N53" s="576" t="str">
        <f t="shared" si="3"/>
        <v/>
      </c>
      <c r="P53" s="574"/>
    </row>
    <row r="54" spans="1:22" s="230" customFormat="1" ht="6" hidden="1" customHeight="1" thickBot="1">
      <c r="C54" s="247"/>
      <c r="F54" s="574"/>
      <c r="G54" s="574"/>
      <c r="H54" s="574"/>
      <c r="I54" s="440"/>
      <c r="J54" s="581"/>
      <c r="L54" s="574"/>
      <c r="N54" s="578"/>
      <c r="P54" s="574"/>
    </row>
    <row r="55" spans="1:22" s="230" customFormat="1" ht="12.75" hidden="1" customHeight="1" thickBot="1">
      <c r="C55" s="247"/>
      <c r="E55" s="827" t="s">
        <v>309</v>
      </c>
      <c r="F55" s="574"/>
      <c r="G55" s="579">
        <f>(SUM(G48:G52))-'Fund Financial Stmt Template'!O48</f>
        <v>0</v>
      </c>
      <c r="H55" s="574"/>
      <c r="I55" s="440"/>
      <c r="J55" s="574"/>
      <c r="L55" s="574"/>
      <c r="N55" s="578"/>
      <c r="P55" s="574"/>
    </row>
    <row r="56" spans="1:22" s="230" customFormat="1" ht="4.5" hidden="1" customHeight="1" thickBot="1">
      <c r="C56" s="247"/>
      <c r="F56" s="574"/>
      <c r="G56" s="582"/>
      <c r="H56" s="574"/>
      <c r="I56" s="440"/>
      <c r="J56" s="582"/>
      <c r="L56" s="582"/>
      <c r="N56" s="583"/>
      <c r="P56" s="582"/>
    </row>
    <row r="57" spans="1:22" s="230" customFormat="1" ht="12.75" hidden="1" customHeight="1" thickBot="1">
      <c r="E57" s="828" t="s">
        <v>350</v>
      </c>
      <c r="F57" s="574"/>
      <c r="G57" s="584">
        <f>IF(SUM(G23,G29,G39,G43:G46,G53)=SUM('Fund Financial Stmt Template'!O50),SUM(G23,G29,G39,G43:G46,G53),"ERROR")</f>
        <v>0</v>
      </c>
      <c r="H57" s="574"/>
      <c r="I57" s="440"/>
      <c r="J57" s="585">
        <f>SUM(J23,J29,J39,J43:J46,J53)</f>
        <v>0</v>
      </c>
      <c r="L57" s="585">
        <f>SUM(L23,L29,L39,L43:L46,L53)</f>
        <v>0</v>
      </c>
      <c r="N57" s="576" t="str">
        <f>IF($E$8="","",IF(AND(G57=0,J57=0),"",IF(ISERR((L57/ABS(J57))),"100%",L57/ABS(J57))))</f>
        <v/>
      </c>
      <c r="P57" s="574"/>
    </row>
    <row r="58" spans="1:22" ht="12.75" customHeight="1" thickBot="1">
      <c r="E58" s="209"/>
      <c r="F58" s="199"/>
      <c r="G58" s="199"/>
      <c r="H58" s="199"/>
      <c r="I58" s="782"/>
      <c r="J58" s="199"/>
      <c r="N58" s="481"/>
      <c r="P58" s="199"/>
      <c r="Q58" s="185"/>
      <c r="R58" s="185"/>
    </row>
    <row r="59" spans="1:22" ht="13.5" thickBot="1">
      <c r="A59" s="189" t="s">
        <v>631</v>
      </c>
      <c r="E59" s="209"/>
      <c r="F59" s="199"/>
      <c r="G59" s="210">
        <f>'Fund Financial Stmt Template'!O52</f>
        <v>0</v>
      </c>
      <c r="H59" s="199"/>
      <c r="I59" s="782"/>
      <c r="J59" s="201" t="str">
        <f>IF(ISNA(HLOOKUP($E$8,Hlookup!$E$1:$AF$140,36,FALSE)),"",(HLOOKUP($E$8,Hlookup!$E$1:$AF$140,36,FALSE)))</f>
        <v/>
      </c>
      <c r="L59" s="201">
        <f>IF(ISERR(G59-J59),0,(G59-J59))</f>
        <v>0</v>
      </c>
      <c r="N59" s="480" t="str">
        <f>IF($E$8="","",IF(AND(G59=0,J59=0),"",IF(ISERR((L59/ABS(J59))),"100%",L59/ABS(J59))))</f>
        <v/>
      </c>
      <c r="P59" s="486"/>
      <c r="Q59" s="185"/>
      <c r="R59" s="185"/>
    </row>
    <row r="60" spans="1:22" ht="12.75" customHeight="1">
      <c r="E60" s="209"/>
      <c r="F60" s="199"/>
      <c r="G60" s="199"/>
      <c r="H60" s="199"/>
      <c r="I60" s="782"/>
      <c r="J60" s="199"/>
      <c r="N60" s="481"/>
      <c r="P60" s="199"/>
      <c r="Q60" s="185"/>
      <c r="R60" s="185"/>
    </row>
    <row r="61" spans="1:22" s="230" customFormat="1" ht="12.75" hidden="1" customHeight="1" thickBot="1">
      <c r="D61" s="1168" t="s">
        <v>756</v>
      </c>
      <c r="E61" s="1169"/>
      <c r="F61" s="574"/>
      <c r="G61" s="584">
        <f>IF(SUM(G57,G59)=SUM('Fund Financial Stmt Template'!O54),SUM(G57,G59),"ERROR")</f>
        <v>0</v>
      </c>
      <c r="H61" s="574"/>
      <c r="I61" s="440"/>
      <c r="J61" s="584">
        <f>SUM(J57,J59)</f>
        <v>0</v>
      </c>
      <c r="L61" s="584">
        <f>SUM(L57,L59)</f>
        <v>0</v>
      </c>
      <c r="N61" s="576" t="str">
        <f>IF($E$8="","",IF(AND(G61=0,J61=0),"",IF(ISERR((L61/ABS(J61))),"100%",L61/ABS(J61))))</f>
        <v/>
      </c>
      <c r="P61" s="574"/>
    </row>
    <row r="62" spans="1:22" s="230" customFormat="1" ht="12.75" hidden="1" customHeight="1" thickBot="1">
      <c r="E62" s="828"/>
      <c r="F62" s="574"/>
      <c r="G62" s="574"/>
      <c r="H62" s="574"/>
      <c r="I62" s="440"/>
      <c r="J62" s="574"/>
      <c r="N62" s="578"/>
      <c r="P62" s="574"/>
    </row>
    <row r="63" spans="1:22" s="230" customFormat="1" ht="12.75" hidden="1" customHeight="1" thickBot="1">
      <c r="E63" s="827" t="s">
        <v>309</v>
      </c>
      <c r="G63" s="579">
        <f>SUM(G23,G29,G39,G43:G46,G53,G59)-SUM('Fund Financial Stmt Template'!O54)</f>
        <v>0</v>
      </c>
      <c r="H63" s="829"/>
      <c r="I63" s="829"/>
      <c r="Q63" s="440"/>
      <c r="R63" s="830"/>
    </row>
    <row r="64" spans="1:22" ht="12.75" hidden="1" customHeight="1">
      <c r="E64" s="224"/>
      <c r="F64" s="185"/>
      <c r="G64" s="831"/>
      <c r="H64" s="213"/>
      <c r="I64" s="213"/>
    </row>
    <row r="65" spans="1:18" ht="24.75" hidden="1" customHeight="1">
      <c r="A65" s="913" t="str">
        <f>A2</f>
        <v>Agency Name:</v>
      </c>
      <c r="B65" s="960"/>
      <c r="C65" s="960"/>
      <c r="D65" s="960"/>
      <c r="E65" s="1157" t="str">
        <f>E2</f>
        <v/>
      </c>
      <c r="F65" s="1161"/>
      <c r="G65" s="1162"/>
    </row>
    <row r="66" spans="1:18" hidden="1">
      <c r="A66" s="913" t="str">
        <f>A8</f>
        <v>Governmental Fund Type and Name:</v>
      </c>
      <c r="B66" s="960"/>
      <c r="C66" s="960"/>
      <c r="D66" s="960"/>
      <c r="E66" s="1157" t="str">
        <f>E8</f>
        <v/>
      </c>
      <c r="F66" s="1158"/>
      <c r="G66" s="1159"/>
      <c r="H66" s="214"/>
      <c r="I66" s="214"/>
    </row>
    <row r="67" spans="1:18" ht="12.75" hidden="1" customHeight="1">
      <c r="A67" s="913" t="str">
        <f>A6</f>
        <v>Date Completed:</v>
      </c>
      <c r="B67" s="960"/>
      <c r="C67" s="960"/>
      <c r="D67" s="960"/>
      <c r="E67" s="1160" t="str">
        <f>E6</f>
        <v/>
      </c>
      <c r="F67" s="976"/>
      <c r="G67" s="1044"/>
      <c r="H67" s="214"/>
      <c r="I67" s="214"/>
    </row>
    <row r="68" spans="1:18" ht="12.75" hidden="1" customHeight="1">
      <c r="A68" s="189"/>
      <c r="B68" s="189"/>
      <c r="F68" s="185"/>
      <c r="G68" s="214"/>
      <c r="H68" s="214"/>
      <c r="I68" s="214"/>
    </row>
    <row r="69" spans="1:18" ht="12.75" hidden="1" customHeight="1">
      <c r="A69" s="189" t="str">
        <f>A10</f>
        <v xml:space="preserve">Tab 7: Fluctuation Analysis - Balance Sheet </v>
      </c>
      <c r="B69" s="189"/>
      <c r="F69" s="185"/>
      <c r="G69" s="214"/>
      <c r="H69" s="214"/>
      <c r="I69" s="214"/>
    </row>
    <row r="70" spans="1:18" ht="12.75" hidden="1" customHeight="1">
      <c r="A70" s="189" t="str">
        <f>A11</f>
        <v>For the Year Ended June 30, 2024</v>
      </c>
      <c r="B70" s="189"/>
      <c r="F70" s="185"/>
      <c r="G70" s="214"/>
      <c r="H70" s="214"/>
      <c r="I70" s="214"/>
    </row>
    <row r="71" spans="1:18" ht="44.25" hidden="1" customHeight="1" thickBot="1">
      <c r="F71" s="196"/>
      <c r="G71" s="195" t="str">
        <f>G15</f>
        <v>Template 
Modified Accrual Basis</v>
      </c>
      <c r="H71" s="196"/>
      <c r="I71" s="782"/>
      <c r="J71" s="195" t="str">
        <f>+J15</f>
        <v>Prior Year
Modified Accrual Basis</v>
      </c>
      <c r="L71" s="195" t="str">
        <f>+L15</f>
        <v xml:space="preserve"> $ Variance</v>
      </c>
      <c r="N71" s="195" t="str">
        <f>+N15</f>
        <v>% Variance</v>
      </c>
      <c r="P71" s="195" t="str">
        <f>+P15</f>
        <v>Notes</v>
      </c>
      <c r="Q71" s="185"/>
      <c r="R71" s="185"/>
    </row>
    <row r="72" spans="1:18">
      <c r="A72" s="189" t="s">
        <v>646</v>
      </c>
      <c r="F72" s="196"/>
      <c r="G72" s="196"/>
      <c r="H72" s="196"/>
      <c r="I72" s="782"/>
      <c r="J72" s="196"/>
      <c r="L72" s="196"/>
      <c r="N72" s="196"/>
      <c r="P72" s="196"/>
      <c r="Q72" s="185"/>
      <c r="R72" s="185"/>
    </row>
    <row r="73" spans="1:18" ht="12.75" customHeight="1">
      <c r="A73" s="189" t="s">
        <v>351</v>
      </c>
      <c r="F73" s="185"/>
      <c r="I73" s="782"/>
      <c r="Q73" s="185"/>
      <c r="R73" s="185"/>
    </row>
    <row r="74" spans="1:18">
      <c r="B74" s="215" t="s">
        <v>216</v>
      </c>
      <c r="E74" s="825"/>
      <c r="F74" s="199"/>
      <c r="G74" s="201">
        <f>'Fund Financial Stmt Template'!O65</f>
        <v>0</v>
      </c>
      <c r="H74" s="199"/>
      <c r="I74" s="782"/>
      <c r="J74" s="201" t="str">
        <f>IF(ISNA(HLOOKUP($E$8,Hlookup!$E$1:$AF$140,44,FALSE)),"",(HLOOKUP($E$8,Hlookup!$E$1:$AF$140,44,FALSE)))</f>
        <v/>
      </c>
      <c r="L74" s="201">
        <f>IF(ISERR(G74-J74),0,(G74-J74))</f>
        <v>0</v>
      </c>
      <c r="N74" s="480" t="str">
        <f>IF($E$8="","",IF(AND(G74=0,J74=0),"",IF(ISERR((L74/ABS(J74))),"100%",L74/ABS(J74))))</f>
        <v/>
      </c>
      <c r="P74" s="486"/>
      <c r="Q74" s="185"/>
      <c r="R74" s="185"/>
    </row>
    <row r="75" spans="1:18">
      <c r="B75" s="217" t="s">
        <v>618</v>
      </c>
      <c r="E75" s="825"/>
      <c r="F75" s="199"/>
      <c r="G75" s="201">
        <f>'Fund Financial Stmt Template'!O66</f>
        <v>0</v>
      </c>
      <c r="H75" s="199"/>
      <c r="I75" s="782"/>
      <c r="J75" s="201" t="str">
        <f>IF(ISNA(HLOOKUP($E$8,Hlookup!$E$1:$AF$140,45,FALSE)),"",(HLOOKUP($E$8,Hlookup!$E$1:$AF$140,45,FALSE)))</f>
        <v/>
      </c>
      <c r="L75" s="201">
        <f>IF(ISERR(G75-J75),0,(G75-J75))</f>
        <v>0</v>
      </c>
      <c r="N75" s="480" t="str">
        <f>IF($E$8="","",IF(AND(G75=0,J75=0),"",IF(ISERR((L75/ABS(J75))),"100%",L75/ABS(J75))))</f>
        <v/>
      </c>
      <c r="P75" s="486"/>
      <c r="Q75" s="185"/>
      <c r="R75" s="185"/>
    </row>
    <row r="76" spans="1:18">
      <c r="B76" s="215" t="s">
        <v>217</v>
      </c>
      <c r="E76" s="825"/>
      <c r="F76" s="199"/>
      <c r="G76" s="201">
        <f>'Fund Financial Stmt Template'!O67</f>
        <v>0</v>
      </c>
      <c r="H76" s="199"/>
      <c r="I76" s="782"/>
      <c r="J76" s="201" t="str">
        <f>IF(ISNA(HLOOKUP($E$8,Hlookup!$E$1:$AF$140,46,FALSE)),"",(HLOOKUP($E$8,Hlookup!$E$1:$AF$140,46,FALSE)))</f>
        <v/>
      </c>
      <c r="L76" s="201">
        <f>IF(ISERR(G76-J76),0,(G76-J76))</f>
        <v>0</v>
      </c>
      <c r="N76" s="480" t="str">
        <f>IF($E$8="","",IF(AND(G76=0,J76=0),"",IF(ISERR((L76/ABS(J76))),"100%",L76/ABS(J76))))</f>
        <v/>
      </c>
      <c r="P76" s="486"/>
      <c r="Q76" s="185"/>
      <c r="R76" s="185"/>
    </row>
    <row r="77" spans="1:18">
      <c r="B77" s="215" t="s">
        <v>218</v>
      </c>
      <c r="E77" s="825"/>
      <c r="F77" s="199"/>
      <c r="G77" s="201">
        <f>'Fund Financial Stmt Template'!O68</f>
        <v>0</v>
      </c>
      <c r="H77" s="199"/>
      <c r="I77" s="782"/>
      <c r="J77" s="201" t="str">
        <f>IF(ISNA(HLOOKUP($E$8,Hlookup!$E$1:$AF$140,47,FALSE)),"",(HLOOKUP($E$8,Hlookup!$E$1:$AF$140,47,FALSE)))</f>
        <v/>
      </c>
      <c r="L77" s="201">
        <f>IF(ISERR(G77-J77),0,(G77-J77))</f>
        <v>0</v>
      </c>
      <c r="N77" s="480" t="str">
        <f>IF($E$8="","",IF(AND(G77=0,J77=0),"",IF(ISERR((L77/ABS(J77))),"100%",L77/ABS(J77))))</f>
        <v/>
      </c>
      <c r="P77" s="486"/>
      <c r="Q77" s="185"/>
      <c r="R77" s="185"/>
    </row>
    <row r="78" spans="1:18" s="230" customFormat="1" ht="12.75" hidden="1" customHeight="1">
      <c r="B78" s="832"/>
      <c r="C78" s="247" t="s">
        <v>230</v>
      </c>
      <c r="E78" s="826"/>
      <c r="F78" s="574"/>
      <c r="G78" s="575">
        <f>IF(SUM(G74:G77)=SUM('Fund Financial Stmt Template'!O69),SUM(G74:G77),"ERROR")</f>
        <v>0</v>
      </c>
      <c r="H78" s="574"/>
      <c r="I78" s="440"/>
      <c r="J78" s="575">
        <f>SUM(J74:J77)</f>
        <v>0</v>
      </c>
      <c r="L78" s="575">
        <f>SUM(L74:L77)</f>
        <v>0</v>
      </c>
      <c r="N78" s="576" t="str">
        <f>IF($E$8="","",IF(AND(G78=0,J78=0),"",IF(ISERR((L78/ABS(J78))),"100%",L78/ABS(J78))))</f>
        <v/>
      </c>
      <c r="P78" s="577"/>
    </row>
    <row r="79" spans="1:18" s="230" customFormat="1" ht="12.75" hidden="1" customHeight="1" thickBot="1">
      <c r="B79" s="832"/>
      <c r="C79" s="247"/>
      <c r="E79" s="826"/>
      <c r="F79" s="574"/>
      <c r="G79" s="574"/>
      <c r="H79" s="574"/>
      <c r="I79" s="440"/>
      <c r="J79" s="574"/>
      <c r="L79" s="574"/>
      <c r="N79" s="578"/>
      <c r="P79" s="574"/>
    </row>
    <row r="80" spans="1:18" s="230" customFormat="1" ht="12.75" hidden="1" customHeight="1" thickBot="1">
      <c r="B80" s="832"/>
      <c r="C80" s="247"/>
      <c r="E80" s="827" t="s">
        <v>309</v>
      </c>
      <c r="F80" s="574"/>
      <c r="G80" s="579">
        <f>(SUM(G74:G77))-'Fund Financial Stmt Template'!O69</f>
        <v>0</v>
      </c>
      <c r="H80" s="574"/>
      <c r="I80" s="440"/>
      <c r="J80" s="574"/>
      <c r="L80" s="574"/>
      <c r="N80" s="578"/>
      <c r="P80" s="574"/>
    </row>
    <row r="81" spans="2:18" ht="12.75" customHeight="1">
      <c r="B81" s="219"/>
      <c r="C81" s="203"/>
      <c r="E81" s="825"/>
      <c r="F81" s="199"/>
      <c r="G81" s="199"/>
      <c r="H81" s="199"/>
      <c r="I81" s="782"/>
      <c r="J81" s="199"/>
      <c r="L81" s="199"/>
      <c r="N81" s="481"/>
      <c r="P81" s="199"/>
      <c r="Q81" s="185"/>
      <c r="R81" s="185"/>
    </row>
    <row r="82" spans="2:18">
      <c r="B82" s="203" t="s">
        <v>352</v>
      </c>
      <c r="E82" s="822"/>
      <c r="F82" s="199"/>
      <c r="G82" s="201">
        <f>'Fund Financial Stmt Template'!O71</f>
        <v>0</v>
      </c>
      <c r="H82" s="199"/>
      <c r="I82" s="782"/>
      <c r="J82" s="201" t="str">
        <f>IF(ISNA(HLOOKUP($E$8,Hlookup!$E$1:$AF$140,50,FALSE)),"",(HLOOKUP($E$8,Hlookup!$E$1:$AF$140,50,FALSE)))</f>
        <v/>
      </c>
      <c r="L82" s="201">
        <f>IF(ISERR(G82-J82),0,(G82-J82))</f>
        <v>0</v>
      </c>
      <c r="N82" s="480" t="str">
        <f t="shared" ref="N82:N87" si="4">IF($E$8="","",IF(AND(G82=0,J82=0),"",IF(ISERR((L82/ABS(J82))),"100%",L82/ABS(J82))))</f>
        <v/>
      </c>
      <c r="P82" s="486"/>
      <c r="Q82" s="185"/>
      <c r="R82" s="185"/>
    </row>
    <row r="83" spans="2:18">
      <c r="B83" s="203" t="s">
        <v>64</v>
      </c>
      <c r="E83" s="825"/>
      <c r="F83" s="199"/>
      <c r="G83" s="201">
        <f>'Fund Financial Stmt Template'!O72</f>
        <v>0</v>
      </c>
      <c r="H83" s="199"/>
      <c r="I83" s="782"/>
      <c r="J83" s="201" t="str">
        <f>IF(ISNA(HLOOKUP($E$8,Hlookup!$E$1:$AF$140,51,FALSE)),"",(HLOOKUP($E$8,Hlookup!$E$1:$AF$140,51,FALSE)))</f>
        <v/>
      </c>
      <c r="L83" s="201">
        <f>IF(ISERR(G83-J83),0,(G83-J83))</f>
        <v>0</v>
      </c>
      <c r="N83" s="480" t="str">
        <f t="shared" si="4"/>
        <v/>
      </c>
      <c r="P83" s="486"/>
      <c r="Q83" s="185"/>
      <c r="R83" s="185"/>
    </row>
    <row r="84" spans="2:18">
      <c r="B84" s="203" t="s">
        <v>65</v>
      </c>
      <c r="E84" s="825"/>
      <c r="F84" s="199"/>
      <c r="G84" s="201">
        <f>'Fund Financial Stmt Template'!O73</f>
        <v>0</v>
      </c>
      <c r="H84" s="199"/>
      <c r="I84" s="782"/>
      <c r="J84" s="201" t="str">
        <f>IF(ISNA(HLOOKUP($E$8,Hlookup!$E$1:$AF$140,52,FALSE)),"",(HLOOKUP($E$8,Hlookup!$E$1:$AF$140,52,FALSE)))</f>
        <v/>
      </c>
      <c r="L84" s="201">
        <f>IF(ISERR(G84-J84),0,(G84-J84))</f>
        <v>0</v>
      </c>
      <c r="N84" s="480" t="str">
        <f t="shared" si="4"/>
        <v/>
      </c>
      <c r="P84" s="486"/>
      <c r="Q84" s="185"/>
      <c r="R84" s="185"/>
    </row>
    <row r="85" spans="2:18">
      <c r="B85" s="203" t="s">
        <v>470</v>
      </c>
      <c r="E85" s="825"/>
      <c r="F85" s="199"/>
      <c r="G85" s="201">
        <f>'Fund Financial Stmt Template'!O74</f>
        <v>0</v>
      </c>
      <c r="H85" s="199"/>
      <c r="I85" s="782"/>
      <c r="J85" s="201" t="str">
        <f>IF(ISNA(HLOOKUP($E$8,Hlookup!$E$1:$AF$140,53,FALSE)),"",(HLOOKUP($E$8,Hlookup!$E$1:$AF$140,53,FALSE)))</f>
        <v/>
      </c>
      <c r="L85" s="201">
        <f>IF(ISERR(G85-J85),0,(G85-J85))</f>
        <v>0</v>
      </c>
      <c r="N85" s="480" t="str">
        <f t="shared" si="4"/>
        <v/>
      </c>
      <c r="P85" s="486"/>
      <c r="Q85" s="185"/>
      <c r="R85" s="185"/>
    </row>
    <row r="86" spans="2:18" ht="12.75" hidden="1" customHeight="1">
      <c r="B86" s="203"/>
      <c r="E86" s="822"/>
      <c r="F86" s="199"/>
      <c r="G86" s="201"/>
      <c r="H86" s="199"/>
      <c r="I86" s="782"/>
      <c r="J86" s="201"/>
      <c r="L86" s="201"/>
      <c r="N86" s="480"/>
      <c r="P86" s="486"/>
      <c r="Q86" s="185"/>
      <c r="R86" s="185"/>
    </row>
    <row r="87" spans="2:18">
      <c r="B87" s="203" t="s">
        <v>232</v>
      </c>
      <c r="E87" s="822"/>
      <c r="F87" s="199"/>
      <c r="G87" s="201">
        <f>'Fund Financial Stmt Template'!O76</f>
        <v>0</v>
      </c>
      <c r="H87" s="199"/>
      <c r="I87" s="782"/>
      <c r="J87" s="201" t="str">
        <f>IF(ISNA(HLOOKUP($E$8,Hlookup!$E$1:$AF$140,55,FALSE)),"",(HLOOKUP($E$8,Hlookup!$E$1:$AF$140,55,FALSE)))</f>
        <v/>
      </c>
      <c r="L87" s="201">
        <f>IF(ISERR(G87-J87),0,(G87-J87))</f>
        <v>0</v>
      </c>
      <c r="N87" s="480" t="str">
        <f t="shared" si="4"/>
        <v/>
      </c>
      <c r="P87" s="486"/>
      <c r="Q87" s="185"/>
      <c r="R87" s="185"/>
    </row>
    <row r="88" spans="2:18" ht="12.75" customHeight="1">
      <c r="B88" s="203"/>
      <c r="E88" s="822"/>
      <c r="F88" s="199"/>
      <c r="G88" s="204"/>
      <c r="H88" s="199"/>
      <c r="I88" s="782"/>
      <c r="J88" s="204"/>
      <c r="L88" s="204"/>
      <c r="N88" s="482"/>
      <c r="P88" s="204"/>
      <c r="Q88" s="185"/>
      <c r="R88" s="185"/>
    </row>
    <row r="89" spans="2:18">
      <c r="B89" s="185" t="s">
        <v>356</v>
      </c>
      <c r="E89" s="822"/>
      <c r="F89" s="199"/>
      <c r="G89" s="201">
        <f>'Fund Financial Stmt Template'!O78</f>
        <v>0</v>
      </c>
      <c r="H89" s="199"/>
      <c r="I89" s="782"/>
      <c r="J89" s="201" t="str">
        <f>IF(ISNA(HLOOKUP($E$8,Hlookup!$E$1:$AF$140,57,FALSE)),"",(HLOOKUP($E$8,Hlookup!$E$1:$AF$140,57,FALSE)))</f>
        <v/>
      </c>
      <c r="L89" s="201">
        <f>IF(ISERR(G89-J89),0,(G89-J89))</f>
        <v>0</v>
      </c>
      <c r="N89" s="480" t="str">
        <f>IF($E$8="","",IF(AND(G89=0,J89=0),"",IF(ISERR((L89/ABS(J89))),"100%",L89/ABS(J89))))</f>
        <v/>
      </c>
      <c r="P89" s="486"/>
      <c r="Q89" s="185"/>
      <c r="R89" s="185"/>
    </row>
    <row r="90" spans="2:18">
      <c r="B90" s="185" t="s">
        <v>355</v>
      </c>
      <c r="E90" s="822"/>
      <c r="F90" s="199"/>
      <c r="G90" s="201">
        <f>'Fund Financial Stmt Template'!O79</f>
        <v>0</v>
      </c>
      <c r="H90" s="199"/>
      <c r="I90" s="782"/>
      <c r="J90" s="201" t="str">
        <f>IF(ISNA(HLOOKUP($E$8,Hlookup!$E$1:$AF$140,58,FALSE)),"",(HLOOKUP($E$8,Hlookup!$E$1:$AF$140,58,FALSE)))</f>
        <v/>
      </c>
      <c r="L90" s="201">
        <f>IF(ISERR(G90-J90),0,(G90-J90))</f>
        <v>0</v>
      </c>
      <c r="N90" s="480" t="str">
        <f>IF($E$8="","",IF(AND(G90=0,J90=0),"",IF(ISERR((L90/ABS(J90))),"100%",L90/ABS(J90))))</f>
        <v/>
      </c>
      <c r="P90" s="486"/>
      <c r="Q90" s="185"/>
      <c r="R90" s="185"/>
    </row>
    <row r="91" spans="2:18" s="230" customFormat="1" ht="12.75" hidden="1" customHeight="1">
      <c r="C91" s="247" t="s">
        <v>367</v>
      </c>
      <c r="E91" s="833"/>
      <c r="F91" s="574"/>
      <c r="G91" s="575">
        <f>IF(SUM(G89:G90)=SUM('Fund Financial Stmt Template'!O80),SUM(G89:G90),"ERROR")</f>
        <v>0</v>
      </c>
      <c r="H91" s="574"/>
      <c r="I91" s="440"/>
      <c r="J91" s="575">
        <f>SUM(J89:J90)</f>
        <v>0</v>
      </c>
      <c r="L91" s="575">
        <f>SUM(L89:L90)</f>
        <v>0</v>
      </c>
      <c r="N91" s="576" t="str">
        <f>IF($E$8="","",IF(AND(G91=0,J91=0),"",IF(ISERR((L91/ABS(J91))),"100%",L91/ABS(J91))))</f>
        <v/>
      </c>
      <c r="P91" s="574"/>
    </row>
    <row r="92" spans="2:18" s="230" customFormat="1" ht="12.75" hidden="1" customHeight="1" thickBot="1">
      <c r="C92" s="247"/>
      <c r="E92" s="833"/>
      <c r="F92" s="574"/>
      <c r="G92" s="574"/>
      <c r="H92" s="574"/>
      <c r="I92" s="440"/>
      <c r="J92" s="574"/>
      <c r="L92" s="574"/>
      <c r="N92" s="578"/>
      <c r="P92" s="574"/>
    </row>
    <row r="93" spans="2:18" s="230" customFormat="1" ht="12.75" hidden="1" customHeight="1" thickBot="1">
      <c r="C93" s="247"/>
      <c r="E93" s="827" t="s">
        <v>309</v>
      </c>
      <c r="F93" s="574"/>
      <c r="G93" s="579">
        <f>(SUM(G89:G90))-'Fund Financial Stmt Template'!O80</f>
        <v>0</v>
      </c>
      <c r="H93" s="574"/>
      <c r="I93" s="440"/>
      <c r="J93" s="574"/>
      <c r="L93" s="574"/>
      <c r="N93" s="578"/>
      <c r="P93" s="574"/>
    </row>
    <row r="94" spans="2:18" ht="12.75" customHeight="1">
      <c r="C94" s="203"/>
      <c r="E94" s="822"/>
      <c r="F94" s="199"/>
      <c r="G94" s="204"/>
      <c r="H94" s="199"/>
      <c r="I94" s="782"/>
      <c r="J94" s="204"/>
      <c r="L94" s="204"/>
      <c r="N94" s="482"/>
      <c r="P94" s="204"/>
      <c r="Q94" s="185"/>
      <c r="R94" s="185"/>
    </row>
    <row r="95" spans="2:18">
      <c r="B95" s="185" t="s">
        <v>424</v>
      </c>
      <c r="C95" s="203"/>
      <c r="E95" s="834"/>
      <c r="F95" s="199"/>
      <c r="G95" s="201">
        <f>'Fund Financial Stmt Template'!O82</f>
        <v>0</v>
      </c>
      <c r="H95" s="199"/>
      <c r="I95" s="782"/>
      <c r="J95" s="201" t="str">
        <f>IF(ISNA(HLOOKUP($E$8,Hlookup!$E$1:$AF$140,62,FALSE)),"",(HLOOKUP($E$8,Hlookup!$E$1:$AF$140,62,FALSE)))</f>
        <v/>
      </c>
      <c r="L95" s="201">
        <f>IF(ISERR(G95-J95),0,(G95-J95))</f>
        <v>0</v>
      </c>
      <c r="N95" s="480" t="str">
        <f>IF($E$8="","",IF(AND(G95=0,J95=0),"",IF(ISERR((L95/ABS(J95))),"100%",L95/ABS(J95))))</f>
        <v/>
      </c>
      <c r="P95" s="486"/>
      <c r="Q95" s="185"/>
      <c r="R95" s="185"/>
    </row>
    <row r="96" spans="2:18">
      <c r="B96" s="185" t="s">
        <v>283</v>
      </c>
      <c r="C96" s="203"/>
      <c r="E96" s="834"/>
      <c r="F96" s="199"/>
      <c r="G96" s="201">
        <f>'Fund Financial Stmt Template'!O83</f>
        <v>0</v>
      </c>
      <c r="H96" s="199"/>
      <c r="I96" s="782"/>
      <c r="J96" s="201" t="str">
        <f>IF(ISNA(HLOOKUP($E$8,Hlookup!$E$1:$AF$140,64,FALSE)),"",(HLOOKUP($E$8,Hlookup!$E$1:$AF$140,64,FALSE)))</f>
        <v/>
      </c>
      <c r="L96" s="201">
        <f>IF(ISERR(G96-J96),0,(G96-J96))</f>
        <v>0</v>
      </c>
      <c r="N96" s="480" t="str">
        <f>IF($E$8="","",IF(AND(G96=0,J96=0),"",IF(ISERR((L96/ABS(J96))),"100%",L96/ABS(J96))))</f>
        <v/>
      </c>
      <c r="P96" s="486"/>
      <c r="Q96" s="185"/>
      <c r="R96" s="185"/>
    </row>
    <row r="97" spans="1:18" s="230" customFormat="1" ht="12.75" hidden="1" customHeight="1">
      <c r="C97" s="247" t="s">
        <v>425</v>
      </c>
      <c r="E97" s="833"/>
      <c r="F97" s="574"/>
      <c r="G97" s="575">
        <f>IF(SUM(G95:G96)=SUM('Fund Financial Stmt Template'!O84),SUM(G95:G96),"ERROR")</f>
        <v>0</v>
      </c>
      <c r="H97" s="574"/>
      <c r="I97" s="440"/>
      <c r="J97" s="575">
        <f>SUM(J95:J96)</f>
        <v>0</v>
      </c>
      <c r="L97" s="575">
        <f>SUM(L95:L96)</f>
        <v>0</v>
      </c>
      <c r="N97" s="576" t="str">
        <f>IF($E$8="","",IF(AND(G97=0,J97=0),"",IF(ISERR((L97/ABS(J97))),"100%",L97/ABS(J97))))</f>
        <v/>
      </c>
      <c r="P97" s="574"/>
    </row>
    <row r="98" spans="1:18" s="230" customFormat="1" ht="12.75" hidden="1" customHeight="1" thickBot="1">
      <c r="F98" s="574"/>
      <c r="G98" s="582"/>
      <c r="H98" s="574"/>
      <c r="I98" s="440"/>
      <c r="J98" s="582"/>
      <c r="L98" s="582"/>
      <c r="N98" s="583"/>
      <c r="P98" s="582"/>
    </row>
    <row r="99" spans="1:18" s="230" customFormat="1" ht="12.75" hidden="1" customHeight="1" thickBot="1">
      <c r="E99" s="247" t="s">
        <v>357</v>
      </c>
      <c r="F99" s="574"/>
      <c r="G99" s="585">
        <f>IF(SUM(G78,G82:G85,G87,G91,G97)=SUM('Fund Financial Stmt Template'!O86),SUM(G78,G82:G85,G87,G91,G97),"ERROR")</f>
        <v>0</v>
      </c>
      <c r="H99" s="574"/>
      <c r="I99" s="440"/>
      <c r="J99" s="585">
        <f>SUM(J78,J82:J87,J91,J97)</f>
        <v>0</v>
      </c>
      <c r="L99" s="585">
        <f>SUM(L78:L87,L91,L97)</f>
        <v>0</v>
      </c>
      <c r="N99" s="576" t="str">
        <f>IF($E$8="","",IF(AND(G99=0,J99=0),"",IF(ISERR((L99/ABS(J99))),"100%",L99/ABS(J99))))</f>
        <v/>
      </c>
      <c r="P99" s="574"/>
    </row>
    <row r="100" spans="1:18" ht="12.75" customHeight="1">
      <c r="E100" s="203"/>
      <c r="F100" s="199"/>
      <c r="G100" s="199"/>
      <c r="H100" s="199"/>
      <c r="I100" s="782"/>
      <c r="J100" s="199"/>
      <c r="L100" s="199"/>
      <c r="N100" s="484"/>
      <c r="P100" s="199"/>
      <c r="Q100" s="185"/>
      <c r="R100" s="185"/>
    </row>
    <row r="101" spans="1:18">
      <c r="A101" s="189" t="s">
        <v>632</v>
      </c>
      <c r="E101" s="203"/>
      <c r="F101" s="199"/>
      <c r="G101" s="201">
        <f>'Fund Financial Stmt Template'!O88</f>
        <v>0</v>
      </c>
      <c r="H101" s="199"/>
      <c r="I101" s="782"/>
      <c r="J101" s="201" t="str">
        <f>IF(ISNA(HLOOKUP($E$8,Hlookup!$E$1:$AF$140,69,FALSE)),"",(HLOOKUP($E$8,Hlookup!$E$1:$AF$140,69,FALSE)))</f>
        <v/>
      </c>
      <c r="L101" s="201">
        <f>IF(ISERR(G101-J101),0,(G101-J101))</f>
        <v>0</v>
      </c>
      <c r="N101" s="480" t="str">
        <f>IF($E$8="","",IF(AND(G101=0,J101=0),"",IF(ISERR((L101/ABS(J101))),"100%",L101/ABS(J101))))</f>
        <v/>
      </c>
      <c r="P101" s="486"/>
      <c r="Q101" s="185"/>
      <c r="R101" s="185"/>
    </row>
    <row r="102" spans="1:18" ht="12.75" customHeight="1">
      <c r="E102" s="203"/>
      <c r="F102" s="199"/>
      <c r="G102" s="199"/>
      <c r="H102" s="199"/>
      <c r="I102" s="782"/>
      <c r="J102" s="199"/>
      <c r="L102" s="199"/>
      <c r="N102" s="484"/>
      <c r="P102" s="199"/>
      <c r="Q102" s="185"/>
      <c r="R102" s="185"/>
    </row>
    <row r="103" spans="1:18" s="230" customFormat="1" ht="12.75" hidden="1" customHeight="1" thickBot="1">
      <c r="D103" s="1168" t="s">
        <v>757</v>
      </c>
      <c r="E103" s="1169"/>
      <c r="F103" s="574"/>
      <c r="G103" s="585">
        <f>IF(SUM(G99,G101)='Fund Financial Stmt Template'!O90,SUM(G99,G101),"ERROR")</f>
        <v>0</v>
      </c>
      <c r="H103" s="574"/>
      <c r="I103" s="440"/>
      <c r="J103" s="585">
        <f>SUM(J99,J101)</f>
        <v>0</v>
      </c>
      <c r="L103" s="585">
        <f>SUM(L99,L101)</f>
        <v>0</v>
      </c>
      <c r="N103" s="576" t="str">
        <f>IF($E$8="","",IF(AND(G103=0,J103=0),"",IF(ISERR((L103/ABS(J103))),"100%",L103/ABS(J103))))</f>
        <v/>
      </c>
      <c r="P103" s="574"/>
    </row>
    <row r="104" spans="1:18" s="230" customFormat="1" ht="12.75" hidden="1" customHeight="1" thickBot="1">
      <c r="E104" s="247"/>
      <c r="F104" s="574"/>
      <c r="G104" s="574"/>
      <c r="H104" s="574"/>
      <c r="I104" s="440"/>
      <c r="J104" s="574"/>
      <c r="L104" s="574"/>
      <c r="N104" s="578"/>
      <c r="P104" s="574"/>
    </row>
    <row r="105" spans="1:18" s="230" customFormat="1" ht="12.75" hidden="1" customHeight="1" thickBot="1">
      <c r="E105" s="827" t="s">
        <v>309</v>
      </c>
      <c r="F105" s="574"/>
      <c r="G105" s="579">
        <f>(SUM(G78,G82:G87,G91,G97,G101))-'Fund Financial Stmt Template'!O90</f>
        <v>0</v>
      </c>
      <c r="H105" s="574"/>
      <c r="I105" s="440"/>
      <c r="J105" s="582"/>
      <c r="L105" s="582"/>
      <c r="N105" s="583"/>
      <c r="P105" s="582"/>
    </row>
    <row r="106" spans="1:18" ht="12.75" customHeight="1">
      <c r="A106" s="189" t="s">
        <v>452</v>
      </c>
      <c r="F106" s="199"/>
      <c r="G106" s="204"/>
      <c r="H106" s="199"/>
      <c r="I106" s="806"/>
      <c r="J106" s="204"/>
      <c r="L106" s="204"/>
      <c r="N106" s="482"/>
      <c r="P106" s="204"/>
      <c r="Q106" s="185"/>
      <c r="R106" s="185"/>
    </row>
    <row r="107" spans="1:18">
      <c r="A107" s="203" t="s">
        <v>256</v>
      </c>
      <c r="B107" s="203"/>
      <c r="F107" s="199"/>
      <c r="G107" s="201">
        <f>'Fund Financial Stmt Template'!O95</f>
        <v>0</v>
      </c>
      <c r="H107" s="199"/>
      <c r="I107" s="806"/>
      <c r="J107" s="201" t="str">
        <f>IF(ISNA(HLOOKUP($E$8,Hlookup!$E$1:$AF$140,74,FALSE)),"",(HLOOKUP($E$8,Hlookup!$E$1:$AF$140,74,FALSE)))</f>
        <v/>
      </c>
      <c r="L107" s="201">
        <f>IF(ISERR(G107-J107),0,(G107-J107))</f>
        <v>0</v>
      </c>
      <c r="N107" s="480" t="str">
        <f>IF($E$8="","",IF(AND(G107=0,J107=0),"",IF(ISERR((L107/ABS(J107))),"100%",L107/ABS(J107))))</f>
        <v/>
      </c>
      <c r="P107" s="656"/>
      <c r="Q107" s="185"/>
      <c r="R107" s="185"/>
    </row>
    <row r="108" spans="1:18" ht="13.15" hidden="1" customHeight="1">
      <c r="A108" s="203"/>
      <c r="B108" s="203"/>
      <c r="F108" s="199"/>
      <c r="G108" s="201"/>
      <c r="H108" s="199"/>
      <c r="I108" s="806"/>
      <c r="J108" s="201"/>
      <c r="L108" s="201"/>
      <c r="N108" s="480"/>
      <c r="P108" s="753"/>
      <c r="Q108" s="185"/>
      <c r="R108" s="185"/>
    </row>
    <row r="109" spans="1:18" ht="13.15" hidden="1" customHeight="1">
      <c r="A109" s="203"/>
      <c r="F109" s="199"/>
      <c r="G109" s="201"/>
      <c r="H109" s="199"/>
      <c r="I109" s="806"/>
      <c r="J109" s="201"/>
      <c r="L109" s="201"/>
      <c r="N109" s="480"/>
      <c r="P109" s="753"/>
      <c r="Q109" s="185"/>
      <c r="R109" s="185"/>
    </row>
    <row r="110" spans="1:18">
      <c r="A110" s="203" t="s">
        <v>257</v>
      </c>
      <c r="F110" s="199"/>
      <c r="G110" s="201">
        <f>'Fund Financial Stmt Template'!O100</f>
        <v>0</v>
      </c>
      <c r="H110" s="199"/>
      <c r="I110" s="806"/>
      <c r="J110" s="201" t="str">
        <f>IF(ISNA(HLOOKUP($E$8,Hlookup!$E$1:$AF$140,77,FALSE)),"",(HLOOKUP($E$8,Hlookup!$E$1:$AF$140,77,FALSE)))</f>
        <v/>
      </c>
      <c r="L110" s="201">
        <f>IF(ISERR(G110-J110),0,(G110-J110))</f>
        <v>0</v>
      </c>
      <c r="N110" s="480" t="str">
        <f>IF($E$8="","",IF(AND(G110=0,J110=0),"",IF(ISERR((L110/ABS(J110))),"100%",L110/ABS(J110))))</f>
        <v/>
      </c>
      <c r="P110" s="656"/>
      <c r="Q110" s="185"/>
      <c r="R110" s="185"/>
    </row>
    <row r="111" spans="1:18" ht="12" hidden="1" customHeight="1">
      <c r="A111" s="203"/>
      <c r="F111" s="199"/>
      <c r="G111" s="199"/>
      <c r="H111" s="199"/>
      <c r="I111" s="199"/>
      <c r="J111" s="199"/>
      <c r="K111" s="199"/>
      <c r="L111" s="199"/>
      <c r="M111" s="199"/>
      <c r="N111" s="199"/>
      <c r="P111" s="753"/>
      <c r="Q111" s="185"/>
      <c r="R111" s="185"/>
    </row>
    <row r="112" spans="1:18" ht="13.15" hidden="1" customHeight="1">
      <c r="A112" s="203"/>
      <c r="E112" s="207"/>
      <c r="F112" s="199"/>
      <c r="G112" s="201"/>
      <c r="H112" s="199"/>
      <c r="I112" s="806"/>
      <c r="J112" s="201"/>
      <c r="L112" s="201"/>
      <c r="N112" s="480"/>
      <c r="P112" s="753"/>
      <c r="Q112" s="185"/>
      <c r="R112" s="185"/>
    </row>
    <row r="113" spans="1:18" ht="13.15" hidden="1" customHeight="1">
      <c r="A113" s="203"/>
      <c r="F113" s="199"/>
      <c r="G113" s="199"/>
      <c r="H113" s="199"/>
      <c r="I113" s="806"/>
      <c r="J113" s="199"/>
      <c r="L113" s="199"/>
      <c r="N113" s="483"/>
      <c r="P113" s="753"/>
      <c r="Q113" s="185"/>
      <c r="R113" s="185"/>
    </row>
    <row r="114" spans="1:18">
      <c r="A114" s="203" t="s">
        <v>263</v>
      </c>
      <c r="F114" s="199"/>
      <c r="G114" s="218">
        <f>'Fund Financial Stmt Template'!O102</f>
        <v>0</v>
      </c>
      <c r="H114" s="199"/>
      <c r="I114" s="806"/>
      <c r="J114" s="201" t="str">
        <f>IF(ISNA(HLOOKUP($E$8,Hlookup!$E$1:$AF$140,81,FALSE)),"",(HLOOKUP($E$8,Hlookup!$E$1:$AF$140,81,FALSE)))</f>
        <v/>
      </c>
      <c r="L114" s="218">
        <f>IF(ISERR(G114-J114),0,(G114-J114))</f>
        <v>0</v>
      </c>
      <c r="N114" s="630" t="str">
        <f>IF($E$8="","",IF(AND(G114=0,J114=0),"",IF(ISERR((L114/ABS(J114))),"100%",L114/ABS(J114))))</f>
        <v/>
      </c>
      <c r="P114" s="656"/>
      <c r="Q114" s="185"/>
      <c r="R114" s="185"/>
    </row>
    <row r="115" spans="1:18">
      <c r="A115" s="203" t="s">
        <v>264</v>
      </c>
      <c r="F115" s="199"/>
      <c r="G115" s="201">
        <f>'Fund Financial Stmt Template'!O103</f>
        <v>0</v>
      </c>
      <c r="H115" s="199"/>
      <c r="I115" s="806"/>
      <c r="J115" s="201" t="str">
        <f>IF(ISNA(HLOOKUP($E$8,Hlookup!$E$1:$AF$140,82,FALSE)),"",(HLOOKUP($E$8,Hlookup!$E$1:$AF$140,82,FALSE)))</f>
        <v/>
      </c>
      <c r="L115" s="201">
        <f>IF(ISERR(G115-J115),0,(G115-J115))</f>
        <v>0</v>
      </c>
      <c r="N115" s="480" t="str">
        <f>IF($E$8="","",IF(AND(G115=0,J115=0),"",IF(ISERR((L115/ABS(J115))),"100%",L115/ABS(J115))))</f>
        <v/>
      </c>
      <c r="P115" s="656"/>
      <c r="Q115" s="185"/>
      <c r="R115" s="185"/>
    </row>
    <row r="116" spans="1:18" s="230" customFormat="1" ht="12.75" hidden="1" customHeight="1">
      <c r="A116" s="247" t="s">
        <v>265</v>
      </c>
      <c r="F116" s="574"/>
      <c r="G116" s="575">
        <f>'Fund Financial Stmt Template'!O104</f>
        <v>0</v>
      </c>
      <c r="H116" s="574"/>
      <c r="I116" s="440"/>
      <c r="J116" s="575" t="str">
        <f>IF(ISNA(HLOOKUP($E$8,Hlookup!$F$1:$AF$140,82,FALSE)),"",(HLOOKUP($E$8,Hlookup!$F$1:$AF$140,82,FALSE)))</f>
        <v/>
      </c>
      <c r="L116" s="575" t="str">
        <f>IF(ISERR(G116-J116),"",(G116-J116))</f>
        <v/>
      </c>
      <c r="N116" s="576" t="str">
        <f>IF($E$8="","",IF(AND(G116=0,J116=0),"",IF(ISERR((L116/ABS(J116))),"100%",L116/ABS(J116))))</f>
        <v/>
      </c>
      <c r="P116" s="574"/>
    </row>
    <row r="117" spans="1:18" s="230" customFormat="1" ht="12.75" customHeight="1">
      <c r="A117" s="247"/>
      <c r="F117" s="574"/>
      <c r="G117" s="574"/>
      <c r="H117" s="574"/>
      <c r="I117" s="440"/>
      <c r="J117" s="574"/>
      <c r="L117" s="574"/>
      <c r="N117" s="580"/>
      <c r="P117" s="574"/>
    </row>
    <row r="118" spans="1:18" s="230" customFormat="1" ht="12.75" hidden="1" customHeight="1" thickBot="1">
      <c r="E118" s="247" t="s">
        <v>453</v>
      </c>
      <c r="F118" s="574"/>
      <c r="G118" s="585">
        <f>IF(SUM(G107,G110,G114,G115)=SUM('Fund Financial Stmt Template'!O106),SUM(G107,G110,G114,G115),"ERROR")</f>
        <v>0</v>
      </c>
      <c r="H118" s="574"/>
      <c r="I118" s="440"/>
      <c r="J118" s="585">
        <f>IF(ISNA(SUM(J107:J112,J114,J115,J116)),"",(SUM(J107:J112,J114,J115,J116)))</f>
        <v>0</v>
      </c>
      <c r="L118" s="585">
        <f>SUM(L107:L112,L114,L115,L116)</f>
        <v>0</v>
      </c>
      <c r="N118" s="576" t="str">
        <f>IF($E$8="","",IF(AND(G118=0,J118=0),"",IF(ISERR((L118/ABS(J118))),"100%",L118/ABS(J118))))</f>
        <v/>
      </c>
      <c r="P118" s="574"/>
    </row>
    <row r="119" spans="1:18" s="230" customFormat="1" ht="12.75" hidden="1" customHeight="1" thickBot="1">
      <c r="E119" s="247"/>
      <c r="F119" s="574"/>
      <c r="G119" s="574"/>
      <c r="H119" s="574"/>
      <c r="I119" s="440"/>
      <c r="J119" s="574"/>
      <c r="L119" s="574"/>
      <c r="N119" s="578"/>
      <c r="P119" s="574"/>
    </row>
    <row r="120" spans="1:18" s="230" customFormat="1" ht="12.75" hidden="1" customHeight="1" thickBot="1">
      <c r="E120" s="827" t="s">
        <v>309</v>
      </c>
      <c r="G120" s="579">
        <f>SUM(G107,G110,G114,G115)-SUM('Fund Financial Stmt Template'!O106)</f>
        <v>0</v>
      </c>
      <c r="H120" s="829"/>
      <c r="I120" s="829"/>
      <c r="Q120" s="440"/>
      <c r="R120" s="830"/>
    </row>
    <row r="121" spans="1:18" ht="12.75" customHeight="1">
      <c r="E121" s="203"/>
      <c r="F121" s="185"/>
      <c r="G121" s="213"/>
      <c r="H121" s="213"/>
      <c r="I121" s="213"/>
    </row>
    <row r="122" spans="1:18" ht="12.75" customHeight="1">
      <c r="A122" s="911" t="str">
        <f>A2</f>
        <v>Agency Name:</v>
      </c>
      <c r="B122" s="960"/>
      <c r="C122" s="960"/>
      <c r="D122" s="960"/>
      <c r="E122" s="896" t="str">
        <f>E2</f>
        <v/>
      </c>
      <c r="F122" s="954"/>
      <c r="G122" s="955"/>
    </row>
    <row r="123" spans="1:18" ht="27" customHeight="1">
      <c r="A123" s="911" t="str">
        <f>A8</f>
        <v>Governmental Fund Type and Name:</v>
      </c>
      <c r="B123" s="960"/>
      <c r="C123" s="960"/>
      <c r="D123" s="960"/>
      <c r="E123" s="1157" t="str">
        <f>E8</f>
        <v/>
      </c>
      <c r="F123" s="1158"/>
      <c r="G123" s="1159"/>
    </row>
    <row r="124" spans="1:18" ht="12.75" customHeight="1">
      <c r="A124" s="911" t="str">
        <f>A6</f>
        <v>Date Completed:</v>
      </c>
      <c r="B124" s="960"/>
      <c r="C124" s="960"/>
      <c r="D124" s="960"/>
      <c r="E124" s="1160" t="str">
        <f>E6</f>
        <v/>
      </c>
      <c r="F124" s="976"/>
      <c r="G124" s="1044"/>
    </row>
    <row r="125" spans="1:18" ht="12.75" customHeight="1">
      <c r="A125" s="188"/>
      <c r="F125" s="185"/>
    </row>
    <row r="126" spans="1:18" ht="12.75" customHeight="1">
      <c r="A126" s="188" t="s">
        <v>650</v>
      </c>
      <c r="F126" s="185"/>
    </row>
    <row r="127" spans="1:18" ht="12.75" customHeight="1">
      <c r="A127" s="188" t="str">
        <f>+A11</f>
        <v>For the Year Ended June 30, 2024</v>
      </c>
      <c r="F127" s="185"/>
    </row>
    <row r="128" spans="1:18" ht="39" customHeight="1" thickBot="1">
      <c r="A128" s="227"/>
      <c r="F128" s="196"/>
      <c r="G128" s="195" t="str">
        <f>G15</f>
        <v>Template 
Modified Accrual Basis</v>
      </c>
      <c r="H128" s="196"/>
      <c r="I128" s="782"/>
      <c r="J128" s="195" t="str">
        <f>+J15</f>
        <v>Prior Year
Modified Accrual Basis</v>
      </c>
      <c r="L128" s="195" t="s">
        <v>108</v>
      </c>
      <c r="N128" s="195" t="s">
        <v>83</v>
      </c>
      <c r="P128" s="195" t="s">
        <v>84</v>
      </c>
      <c r="Q128" s="185"/>
      <c r="R128" s="185"/>
    </row>
    <row r="129" spans="1:18" ht="12.75" customHeight="1">
      <c r="A129" s="188" t="s">
        <v>29</v>
      </c>
      <c r="F129" s="185"/>
      <c r="I129" s="782"/>
      <c r="Q129" s="185"/>
      <c r="R129" s="185"/>
    </row>
    <row r="130" spans="1:18">
      <c r="B130" s="209" t="s">
        <v>426</v>
      </c>
      <c r="F130" s="199"/>
      <c r="G130" s="201">
        <f>'Fund Financial Stmt Template'!O118</f>
        <v>0</v>
      </c>
      <c r="H130" s="199"/>
      <c r="I130" s="782"/>
      <c r="J130" s="201" t="str">
        <f>IF(ISNA(HLOOKUP($E$8,Hlookup!$E$1:$AF$140,94,FALSE)),"",(HLOOKUP($E$8,Hlookup!$E$1:$AF$140,94,FALSE)))</f>
        <v/>
      </c>
      <c r="L130" s="201">
        <f>IF(ISERR(G130-J130),0,(G130-J130))</f>
        <v>0</v>
      </c>
      <c r="N130" s="480" t="str">
        <f>IF($E$8="","",IF(AND(G130=0,J130=0),"",IF(ISERR((L130/ABS(J130))),"100%",L130/ABS(J130))))</f>
        <v/>
      </c>
      <c r="P130" s="486"/>
      <c r="Q130" s="185"/>
      <c r="R130" s="185"/>
    </row>
    <row r="131" spans="1:18">
      <c r="B131" s="209" t="s">
        <v>427</v>
      </c>
      <c r="F131" s="199"/>
      <c r="G131" s="201">
        <f>'Fund Financial Stmt Template'!O119</f>
        <v>0</v>
      </c>
      <c r="H131" s="199"/>
      <c r="I131" s="782"/>
      <c r="J131" s="201" t="str">
        <f>IF(ISNA(HLOOKUP($E$8,Hlookup!$E$1:$AF$140,95,FALSE)),"",(HLOOKUP($E$8,Hlookup!$E$1:$AF$140,95,FALSE)))</f>
        <v/>
      </c>
      <c r="L131" s="201">
        <f>IF(ISERR(G131-J131),0,(G131-J131))</f>
        <v>0</v>
      </c>
      <c r="N131" s="480" t="str">
        <f>IF($E$8="","",IF(AND(G131=0,J131=0),"",IF(ISERR((L131/ABS(J131))),"100%",L131/ABS(J131))))</f>
        <v/>
      </c>
      <c r="P131" s="486"/>
      <c r="Q131" s="185"/>
      <c r="R131" s="185"/>
    </row>
    <row r="132" spans="1:18">
      <c r="B132" s="209" t="s">
        <v>442</v>
      </c>
      <c r="F132" s="199"/>
      <c r="G132" s="201">
        <f>'Fund Financial Stmt Template'!O120</f>
        <v>0</v>
      </c>
      <c r="H132" s="199"/>
      <c r="I132" s="782"/>
      <c r="J132" s="201" t="str">
        <f>IF(ISNA(HLOOKUP($E$8,Hlookup!$E$1:$AF$140,96,FALSE)),"",(HLOOKUP($E$8,Hlookup!$E$1:$AF$140,96,FALSE)))</f>
        <v/>
      </c>
      <c r="L132" s="201">
        <f>IF(ISERR(G132-J132),0,(G132-J132))</f>
        <v>0</v>
      </c>
      <c r="N132" s="480" t="str">
        <f>IF($E$8="","",IF(AND(G132=0,J132=0),"",IF(ISERR((L132/ABS(J132))),"100%",L132/ABS(J132))))</f>
        <v/>
      </c>
      <c r="P132" s="486"/>
      <c r="Q132" s="185"/>
      <c r="R132" s="185"/>
    </row>
    <row r="133" spans="1:18" ht="12.75" customHeight="1">
      <c r="B133" s="186"/>
      <c r="F133" s="199"/>
      <c r="G133" s="204"/>
      <c r="H133" s="199"/>
      <c r="I133" s="782"/>
      <c r="J133" s="204"/>
      <c r="L133" s="204"/>
      <c r="N133" s="482"/>
      <c r="P133" s="204"/>
      <c r="Q133" s="185"/>
      <c r="R133" s="185"/>
    </row>
    <row r="134" spans="1:18">
      <c r="B134" s="186" t="s">
        <v>2705</v>
      </c>
      <c r="F134" s="199"/>
      <c r="G134" s="201">
        <f>'Fund Financial Stmt Template'!O122</f>
        <v>0</v>
      </c>
      <c r="H134" s="199"/>
      <c r="I134" s="782"/>
      <c r="J134" s="201" t="str">
        <f>IF(ISNA(HLOOKUP($E$8,Hlookup!$E$1:$AF$140,98,FALSE)),"",(HLOOKUP($E$8,Hlookup!$E$1:$AF$140,98,FALSE)))</f>
        <v/>
      </c>
      <c r="L134" s="201">
        <f t="shared" ref="L134:L139" si="5">IF(ISERR(G134-J134),0,(G134-J134))</f>
        <v>0</v>
      </c>
      <c r="N134" s="480" t="str">
        <f t="shared" ref="N134:N140" si="6">IF($E$8="","",IF(AND(G134=0,J134=0),"",IF(ISERR((L134/ABS(J134))),"100%",L134/ABS(J134))))</f>
        <v/>
      </c>
      <c r="P134" s="486"/>
      <c r="Q134" s="185"/>
      <c r="R134" s="185"/>
    </row>
    <row r="135" spans="1:18">
      <c r="B135" s="186" t="s">
        <v>428</v>
      </c>
      <c r="F135" s="199"/>
      <c r="G135" s="201">
        <f>'Fund Financial Stmt Template'!O123</f>
        <v>0</v>
      </c>
      <c r="H135" s="199"/>
      <c r="I135" s="782"/>
      <c r="J135" s="201" t="str">
        <f>IF(ISNA(HLOOKUP($E$8,Hlookup!$E$1:$AF$140,99,FALSE)),"",(HLOOKUP($E$8,Hlookup!$E$1:$AF$140,99,FALSE)))</f>
        <v/>
      </c>
      <c r="L135" s="201">
        <f t="shared" si="5"/>
        <v>0</v>
      </c>
      <c r="N135" s="480" t="str">
        <f t="shared" si="6"/>
        <v/>
      </c>
      <c r="P135" s="486"/>
      <c r="Q135" s="185"/>
      <c r="R135" s="185"/>
    </row>
    <row r="136" spans="1:18">
      <c r="B136" s="186" t="s">
        <v>430</v>
      </c>
      <c r="F136" s="199"/>
      <c r="G136" s="201">
        <f>'Fund Financial Stmt Template'!O124</f>
        <v>0</v>
      </c>
      <c r="H136" s="199"/>
      <c r="I136" s="782"/>
      <c r="J136" s="201" t="str">
        <f>IF(ISNA(HLOOKUP($E$8,Hlookup!$E$1:$AF$140,100,FALSE)),"",(HLOOKUP($E$8,Hlookup!$E$1:$AF$140,100,FALSE)))</f>
        <v/>
      </c>
      <c r="L136" s="201">
        <f t="shared" si="5"/>
        <v>0</v>
      </c>
      <c r="N136" s="480" t="str">
        <f t="shared" si="6"/>
        <v/>
      </c>
      <c r="P136" s="486"/>
      <c r="Q136" s="185"/>
      <c r="R136" s="185"/>
    </row>
    <row r="137" spans="1:18">
      <c r="B137" s="186" t="s">
        <v>431</v>
      </c>
      <c r="F137" s="199"/>
      <c r="G137" s="201">
        <f>'Fund Financial Stmt Template'!O125</f>
        <v>0</v>
      </c>
      <c r="H137" s="199"/>
      <c r="I137" s="782"/>
      <c r="J137" s="201" t="str">
        <f>IF(ISNA(HLOOKUP($E$8,Hlookup!$E$1:$EG$140,101,FALSE)),"",(HLOOKUP($E$8,Hlookup!$E$1:$AF$140,101,FALSE)))</f>
        <v/>
      </c>
      <c r="L137" s="201">
        <f t="shared" si="5"/>
        <v>0</v>
      </c>
      <c r="N137" s="480" t="str">
        <f t="shared" si="6"/>
        <v/>
      </c>
      <c r="P137" s="486"/>
      <c r="Q137" s="185"/>
      <c r="R137" s="185"/>
    </row>
    <row r="138" spans="1:18">
      <c r="B138" s="186" t="s">
        <v>432</v>
      </c>
      <c r="F138" s="199"/>
      <c r="G138" s="201">
        <f>'Fund Financial Stmt Template'!O126</f>
        <v>0</v>
      </c>
      <c r="H138" s="199"/>
      <c r="I138" s="782"/>
      <c r="J138" s="201" t="str">
        <f>IF(ISNA(HLOOKUP($E$8,Hlookup!$E$1:$AF$140,102,FALSE)),"",(HLOOKUP($E$8,Hlookup!$E$1:$AF$140,102,FALSE)))</f>
        <v/>
      </c>
      <c r="L138" s="201">
        <f t="shared" si="5"/>
        <v>0</v>
      </c>
      <c r="N138" s="480" t="str">
        <f t="shared" si="6"/>
        <v/>
      </c>
      <c r="P138" s="486"/>
      <c r="Q138" s="185"/>
      <c r="R138" s="185"/>
    </row>
    <row r="139" spans="1:18">
      <c r="B139" s="186" t="s">
        <v>358</v>
      </c>
      <c r="E139" s="208"/>
      <c r="F139" s="199"/>
      <c r="G139" s="201">
        <f>'Fund Financial Stmt Template'!O127</f>
        <v>0</v>
      </c>
      <c r="H139" s="199"/>
      <c r="I139" s="782"/>
      <c r="J139" s="201" t="str">
        <f>IF(ISNA(HLOOKUP($E$8,Hlookup!$E$1:$AF$140,103,FALSE)),"",(HLOOKUP($E$8,Hlookup!$E$1:$AF$140,103,FALSE)))</f>
        <v/>
      </c>
      <c r="L139" s="201">
        <f t="shared" si="5"/>
        <v>0</v>
      </c>
      <c r="N139" s="480" t="str">
        <f t="shared" si="6"/>
        <v/>
      </c>
      <c r="P139" s="486"/>
      <c r="Q139" s="185"/>
      <c r="R139" s="185"/>
    </row>
    <row r="140" spans="1:18" s="230" customFormat="1" ht="12.75" hidden="1" customHeight="1">
      <c r="B140" s="830"/>
      <c r="C140" s="247" t="s">
        <v>359</v>
      </c>
      <c r="F140" s="574"/>
      <c r="G140" s="575">
        <f>IF(SUM(G134:G139)=SUM('Fund Financial Stmt Template'!O128),SUM(G134:G139),"ERROR")</f>
        <v>0</v>
      </c>
      <c r="H140" s="574"/>
      <c r="I140" s="440"/>
      <c r="J140" s="575">
        <f>SUM(J134:J139)</f>
        <v>0</v>
      </c>
      <c r="L140" s="575">
        <f>SUM(L134:L139)</f>
        <v>0</v>
      </c>
      <c r="N140" s="576" t="str">
        <f t="shared" si="6"/>
        <v/>
      </c>
      <c r="P140" s="574"/>
    </row>
    <row r="141" spans="1:18" s="230" customFormat="1" ht="12.75" hidden="1" customHeight="1" thickBot="1">
      <c r="B141" s="830"/>
      <c r="F141" s="574"/>
      <c r="G141" s="582"/>
      <c r="H141" s="574"/>
      <c r="I141" s="440"/>
      <c r="J141" s="582"/>
      <c r="L141" s="582"/>
      <c r="N141" s="583"/>
      <c r="P141" s="582"/>
    </row>
    <row r="142" spans="1:18" s="230" customFormat="1" ht="12.75" hidden="1" customHeight="1" thickBot="1">
      <c r="C142" s="828"/>
      <c r="E142" s="247" t="s">
        <v>445</v>
      </c>
      <c r="F142" s="574"/>
      <c r="G142" s="585">
        <f>IF(SUM(G130:G132,G140)=SUM('Fund Financial Stmt Template'!O130),SUM(G130:G132,G140),"ERROR")</f>
        <v>0</v>
      </c>
      <c r="H142" s="574"/>
      <c r="I142" s="440"/>
      <c r="J142" s="585">
        <f>SUM(J130:J132,J140)</f>
        <v>0</v>
      </c>
      <c r="L142" s="585">
        <f>SUM(L130:L132,L140)</f>
        <v>0</v>
      </c>
      <c r="N142" s="576" t="str">
        <f>IF($E$8="","",IF(AND(G142=0,J142=0),"",IF(ISERR((L142/ABS(J142))),"100%",L142/ABS(J142))))</f>
        <v/>
      </c>
      <c r="P142" s="574"/>
    </row>
    <row r="143" spans="1:18" s="230" customFormat="1" ht="6" hidden="1" customHeight="1" thickBot="1">
      <c r="C143" s="828"/>
      <c r="E143" s="247"/>
      <c r="F143" s="574"/>
      <c r="G143" s="574"/>
      <c r="H143" s="574"/>
      <c r="I143" s="440"/>
      <c r="J143" s="574"/>
      <c r="L143" s="574"/>
      <c r="N143" s="578"/>
      <c r="P143" s="574"/>
    </row>
    <row r="144" spans="1:18" s="230" customFormat="1" ht="13.5" hidden="1" thickBot="1">
      <c r="E144" s="827" t="s">
        <v>309</v>
      </c>
      <c r="F144" s="574"/>
      <c r="G144" s="586">
        <f>(SUM(G130:G132,G140))-'Fund Financial Stmt Template'!O130</f>
        <v>0</v>
      </c>
      <c r="H144" s="574"/>
      <c r="I144" s="440"/>
      <c r="J144" s="582"/>
      <c r="L144" s="582"/>
      <c r="N144" s="583"/>
      <c r="P144" s="582"/>
    </row>
    <row r="145" spans="1:18">
      <c r="A145" s="188" t="s">
        <v>30</v>
      </c>
      <c r="F145" s="199"/>
      <c r="G145" s="204"/>
      <c r="H145" s="199"/>
      <c r="I145" s="782"/>
      <c r="J145" s="204"/>
      <c r="L145" s="204"/>
      <c r="N145" s="482"/>
      <c r="P145" s="204"/>
      <c r="Q145" s="185"/>
      <c r="R145" s="185"/>
    </row>
    <row r="146" spans="1:18">
      <c r="B146" s="209" t="s">
        <v>433</v>
      </c>
      <c r="F146" s="199"/>
      <c r="G146" s="201">
        <f>'Fund Financial Stmt Template'!O133</f>
        <v>0</v>
      </c>
      <c r="H146" s="199"/>
      <c r="I146" s="782"/>
      <c r="J146" s="201" t="str">
        <f>IF(ISNA(HLOOKUP($E$8,Hlookup!$E$1:$AF$140,109,FALSE)),"",(HLOOKUP($E$8,Hlookup!$E$1:$AF$140,109,FALSE)))</f>
        <v/>
      </c>
      <c r="L146" s="201">
        <f t="shared" ref="L146:L151" si="7">IF(ISERR(G146-J146),0,(G146-J146))</f>
        <v>0</v>
      </c>
      <c r="N146" s="480" t="str">
        <f t="shared" ref="N146:N151" si="8">IF($E$8="","",IF(AND(G146=0,J146=0),"",IF(ISERR((L146/ABS(J146))),"100%",L146/ABS(J146))))</f>
        <v/>
      </c>
      <c r="P146" s="486"/>
      <c r="Q146" s="185"/>
      <c r="R146" s="185"/>
    </row>
    <row r="147" spans="1:18" ht="12">
      <c r="B147" s="209" t="s">
        <v>434</v>
      </c>
      <c r="F147" s="199"/>
      <c r="G147" s="201">
        <f>'Fund Financial Stmt Template'!O134</f>
        <v>0</v>
      </c>
      <c r="H147" s="199"/>
      <c r="J147" s="201" t="str">
        <f>IF(ISNA(HLOOKUP($E$8,Hlookup!$E$1:$AF$140,110,FALSE)),"",(HLOOKUP($E$8,Hlookup!$E$1:$AF$140,110,FALSE)))</f>
        <v/>
      </c>
      <c r="L147" s="201">
        <f t="shared" si="7"/>
        <v>0</v>
      </c>
      <c r="N147" s="480" t="str">
        <f t="shared" si="8"/>
        <v/>
      </c>
      <c r="P147" s="486"/>
      <c r="Q147" s="185"/>
      <c r="R147" s="185"/>
    </row>
    <row r="148" spans="1:18" ht="12">
      <c r="B148" s="209" t="s">
        <v>435</v>
      </c>
      <c r="F148" s="199"/>
      <c r="G148" s="201">
        <f>'Fund Financial Stmt Template'!O135</f>
        <v>0</v>
      </c>
      <c r="H148" s="199"/>
      <c r="J148" s="201" t="str">
        <f>IF(ISNA(HLOOKUP($E$8,Hlookup!$E$1:$AF$140,111,FALSE)),"",(HLOOKUP($E$8,Hlookup!$E$1:$AF$140,111,FALSE)))</f>
        <v/>
      </c>
      <c r="L148" s="201">
        <f t="shared" si="7"/>
        <v>0</v>
      </c>
      <c r="N148" s="480" t="str">
        <f t="shared" si="8"/>
        <v/>
      </c>
      <c r="P148" s="486"/>
      <c r="Q148" s="185"/>
      <c r="R148" s="185"/>
    </row>
    <row r="149" spans="1:18" ht="12">
      <c r="B149" s="209" t="s">
        <v>436</v>
      </c>
      <c r="F149" s="199"/>
      <c r="G149" s="201">
        <f>'Fund Financial Stmt Template'!O136</f>
        <v>0</v>
      </c>
      <c r="H149" s="199"/>
      <c r="J149" s="201" t="str">
        <f>IF(ISNA(HLOOKUP($E$8,Hlookup!$E$1:$AF$140,112,FALSE)),"",(HLOOKUP($E$8,Hlookup!$E$1:$AF$140,112,FALSE)))</f>
        <v/>
      </c>
      <c r="L149" s="201">
        <f t="shared" si="7"/>
        <v>0</v>
      </c>
      <c r="N149" s="480" t="str">
        <f t="shared" si="8"/>
        <v/>
      </c>
      <c r="P149" s="486"/>
      <c r="Q149" s="185"/>
      <c r="R149" s="185"/>
    </row>
    <row r="150" spans="1:18" ht="12">
      <c r="B150" s="209" t="s">
        <v>437</v>
      </c>
      <c r="F150" s="199"/>
      <c r="G150" s="201">
        <f>'Fund Financial Stmt Template'!O137</f>
        <v>0</v>
      </c>
      <c r="H150" s="199"/>
      <c r="J150" s="201" t="str">
        <f>IF(ISNA(HLOOKUP($E$8,Hlookup!$E$1:$AF$140,113,FALSE)),"",(HLOOKUP($E$8,Hlookup!$E$1:$AF$140,113,FALSE)))</f>
        <v/>
      </c>
      <c r="L150" s="201">
        <f t="shared" si="7"/>
        <v>0</v>
      </c>
      <c r="N150" s="480" t="str">
        <f t="shared" si="8"/>
        <v/>
      </c>
      <c r="P150" s="486"/>
      <c r="Q150" s="185"/>
      <c r="R150" s="185"/>
    </row>
    <row r="151" spans="1:18" ht="12">
      <c r="B151" s="209" t="s">
        <v>438</v>
      </c>
      <c r="F151" s="199"/>
      <c r="G151" s="201">
        <f>'Fund Financial Stmt Template'!O138</f>
        <v>0</v>
      </c>
      <c r="H151" s="199"/>
      <c r="J151" s="201" t="str">
        <f>IF(ISNA(HLOOKUP($E$8,Hlookup!$E$1:$AF$140,114,FALSE)),"",(HLOOKUP($E$8,Hlookup!$E$1:$AF$140,114,FALSE)))</f>
        <v/>
      </c>
      <c r="L151" s="201">
        <f t="shared" si="7"/>
        <v>0</v>
      </c>
      <c r="N151" s="480" t="str">
        <f t="shared" si="8"/>
        <v/>
      </c>
      <c r="P151" s="486"/>
      <c r="Q151" s="185"/>
      <c r="R151" s="185"/>
    </row>
    <row r="152" spans="1:18" ht="12.75" hidden="1" customHeight="1">
      <c r="B152" s="209"/>
      <c r="F152" s="199"/>
      <c r="G152" s="204"/>
      <c r="H152" s="199"/>
      <c r="J152" s="204"/>
      <c r="L152" s="204"/>
      <c r="N152" s="482"/>
      <c r="P152" s="780"/>
      <c r="Q152" s="185"/>
      <c r="R152" s="185"/>
    </row>
    <row r="153" spans="1:18" ht="12.75" hidden="1" customHeight="1">
      <c r="B153" s="186" t="s">
        <v>439</v>
      </c>
      <c r="F153" s="199"/>
      <c r="G153" s="204"/>
      <c r="H153" s="199"/>
      <c r="J153" s="204"/>
      <c r="L153" s="204"/>
      <c r="N153" s="482"/>
      <c r="P153" s="780"/>
      <c r="Q153" s="185"/>
      <c r="R153" s="185"/>
    </row>
    <row r="154" spans="1:18" ht="12.75" hidden="1" customHeight="1">
      <c r="B154" s="209"/>
      <c r="C154" s="209" t="s">
        <v>440</v>
      </c>
      <c r="F154" s="199"/>
      <c r="G154" s="201">
        <f>'Fund Financial Stmt Template'!O141</f>
        <v>0</v>
      </c>
      <c r="H154" s="199"/>
      <c r="J154" s="201" t="str">
        <f>IF(ISNA(HLOOKUP($E$8,Hlookup!$F$1:$AF$140,115,FALSE)),"",(HLOOKUP($E$8,Hlookup!$F$1:$AF$140,115,FALSE)))</f>
        <v/>
      </c>
      <c r="L154" s="201" t="str">
        <f>IF(ISERR(G154-J154),"",(G154-J154))</f>
        <v/>
      </c>
      <c r="N154" s="485" t="e">
        <f>IF(L154=0,"0%",L154/ABS(J154))</f>
        <v>#VALUE!</v>
      </c>
      <c r="P154" s="779"/>
      <c r="Q154" s="185"/>
      <c r="R154" s="185"/>
    </row>
    <row r="155" spans="1:18" ht="12.75" hidden="1" customHeight="1">
      <c r="B155" s="209"/>
      <c r="C155" s="209" t="s">
        <v>441</v>
      </c>
      <c r="F155" s="199"/>
      <c r="G155" s="201">
        <f>'Fund Financial Stmt Template'!O142</f>
        <v>0</v>
      </c>
      <c r="H155" s="199"/>
      <c r="J155" s="201" t="str">
        <f>IF(ISNA(HLOOKUP($E$8,Hlookup!$F$1:$AF$140,116,FALSE)),"",(HLOOKUP($E$8,Hlookup!$F$1:$AF$140,116,FALSE)))</f>
        <v/>
      </c>
      <c r="L155" s="201" t="str">
        <f>IF(ISERR(G155-J155),"",(G155-J155))</f>
        <v/>
      </c>
      <c r="N155" s="485" t="e">
        <f>IF(L155=0,"0%",L155/ABS(J155))</f>
        <v>#VALUE!</v>
      </c>
      <c r="P155" s="779"/>
      <c r="Q155" s="185"/>
      <c r="R155" s="185"/>
    </row>
    <row r="156" spans="1:18" ht="12.75" customHeight="1">
      <c r="B156" s="209"/>
      <c r="C156" s="203"/>
      <c r="F156" s="199"/>
      <c r="G156" s="204"/>
      <c r="H156" s="199"/>
      <c r="J156" s="204"/>
      <c r="L156" s="204"/>
      <c r="N156" s="482"/>
      <c r="P156" s="204"/>
      <c r="Q156" s="185"/>
      <c r="R156" s="185"/>
    </row>
    <row r="157" spans="1:18" s="230" customFormat="1" ht="12.75" hidden="1" customHeight="1" thickBot="1">
      <c r="C157" s="828"/>
      <c r="E157" s="247" t="s">
        <v>444</v>
      </c>
      <c r="F157" s="574"/>
      <c r="G157" s="585">
        <f>IF(SUM(G146:G151)=SUM('Fund Financial Stmt Template'!O144),SUM(G146:G151),"ERROR")</f>
        <v>0</v>
      </c>
      <c r="H157" s="574"/>
      <c r="J157" s="585">
        <f>IF(ISNA(SUM(J146:J151,J154:J155)),"",(SUM(J146:J151,J154:J155)))</f>
        <v>0</v>
      </c>
      <c r="L157" s="585">
        <f>SUM(L146:L151,L154:L155)</f>
        <v>0</v>
      </c>
      <c r="N157" s="576" t="str">
        <f>IF($E$8="","",IF(AND(G157=0,J157=0),"",IF(ISERR((L157/ABS(J157))),"100%",L157/ABS(J157))))</f>
        <v/>
      </c>
      <c r="P157" s="574"/>
    </row>
    <row r="158" spans="1:18" s="230" customFormat="1" ht="6" hidden="1" customHeight="1" thickBot="1">
      <c r="C158" s="828"/>
      <c r="E158" s="247"/>
      <c r="F158" s="574"/>
      <c r="G158" s="574"/>
      <c r="H158" s="574"/>
      <c r="J158" s="574"/>
      <c r="L158" s="574"/>
      <c r="N158" s="578"/>
      <c r="P158" s="574"/>
    </row>
    <row r="159" spans="1:18" s="230" customFormat="1" ht="12.75" hidden="1" customHeight="1" thickBot="1">
      <c r="C159" s="828"/>
      <c r="E159" s="827" t="s">
        <v>309</v>
      </c>
      <c r="F159" s="574"/>
      <c r="G159" s="586">
        <f>(SUM(G146:G151))-'Fund Financial Stmt Template'!O144</f>
        <v>0</v>
      </c>
      <c r="H159" s="574"/>
      <c r="J159" s="574"/>
      <c r="L159" s="574"/>
      <c r="N159" s="578"/>
      <c r="P159" s="574"/>
    </row>
    <row r="160" spans="1:18" s="230" customFormat="1" ht="4.5" hidden="1" customHeight="1" thickBot="1">
      <c r="C160" s="828"/>
      <c r="F160" s="574"/>
      <c r="G160" s="582"/>
      <c r="H160" s="574"/>
      <c r="J160" s="582"/>
      <c r="L160" s="582"/>
      <c r="N160" s="583"/>
      <c r="P160" s="582"/>
    </row>
    <row r="161" spans="1:18" s="230" customFormat="1" ht="12.75" hidden="1" customHeight="1" thickBot="1">
      <c r="D161" s="828"/>
      <c r="E161" s="247" t="s">
        <v>82</v>
      </c>
      <c r="F161" s="574"/>
      <c r="G161" s="585">
        <f>IF(SUM(G142,-G157)=SUM('Fund Financial Stmt Template'!O146),SUM(G142,-G157),"ERROR")</f>
        <v>0</v>
      </c>
      <c r="H161" s="574"/>
      <c r="J161" s="585">
        <f>IF(ISERR(J142-J157),"",(J142-J157))</f>
        <v>0</v>
      </c>
      <c r="L161" s="585">
        <f>L142-L157</f>
        <v>0</v>
      </c>
      <c r="N161" s="576" t="str">
        <f>IF($E$8="","",IF(AND(G161=0,J161=0),"",IF(ISERR((L161/ABS(J161))),"100%",L161/ABS(J161))))</f>
        <v/>
      </c>
      <c r="P161" s="574"/>
    </row>
    <row r="162" spans="1:18" s="230" customFormat="1" ht="12.75" hidden="1" customHeight="1" thickBot="1">
      <c r="D162" s="828"/>
      <c r="E162" s="247"/>
      <c r="F162" s="574"/>
      <c r="G162" s="574"/>
      <c r="H162" s="574"/>
      <c r="J162" s="574"/>
      <c r="L162" s="574"/>
      <c r="N162" s="578"/>
      <c r="P162" s="574"/>
    </row>
    <row r="163" spans="1:18" s="230" customFormat="1" ht="12.75" hidden="1" customHeight="1" thickBot="1">
      <c r="D163" s="828"/>
      <c r="E163" s="827" t="s">
        <v>309</v>
      </c>
      <c r="F163" s="574"/>
      <c r="G163" s="586">
        <f>(SUM(G142,-G157))-'Fund Financial Stmt Template'!O146</f>
        <v>0</v>
      </c>
      <c r="H163" s="574"/>
      <c r="J163" s="574"/>
      <c r="L163" s="574"/>
      <c r="N163" s="578"/>
      <c r="P163" s="574"/>
    </row>
    <row r="164" spans="1:18" ht="12.75" hidden="1" customHeight="1">
      <c r="F164" s="199"/>
      <c r="G164" s="204"/>
      <c r="H164" s="199"/>
      <c r="J164" s="204"/>
      <c r="L164" s="204"/>
      <c r="N164" s="482"/>
      <c r="P164" s="204"/>
      <c r="Q164" s="185"/>
      <c r="R164" s="185"/>
    </row>
    <row r="165" spans="1:18" ht="12">
      <c r="A165" s="209" t="s">
        <v>92</v>
      </c>
      <c r="E165" s="207"/>
      <c r="F165" s="199"/>
      <c r="G165" s="218">
        <f>'Fund Financial Stmt Template'!O148</f>
        <v>0</v>
      </c>
      <c r="H165" s="199"/>
      <c r="J165" s="201" t="str">
        <f>IF(ISNA(HLOOKUP($E$8,Hlookup!$E$1:$AF$140,124,FALSE)),"",(HLOOKUP($E$8,Hlookup!$E$1:$AF$140,124,FALSE)))</f>
        <v/>
      </c>
      <c r="L165" s="201">
        <f>IF(ISERR(G165-J165),0,(G165-J165))</f>
        <v>0</v>
      </c>
      <c r="N165" s="480" t="str">
        <f>IF($E$8="","",IF(AND(G165=0,J165=0),"",IF(ISERR((L165/ABS(J165))),"100%",L165/ABS(J165))))</f>
        <v/>
      </c>
      <c r="P165" s="486"/>
      <c r="Q165" s="185"/>
      <c r="R165" s="185"/>
    </row>
    <row r="166" spans="1:18" ht="12">
      <c r="A166" s="209" t="s">
        <v>93</v>
      </c>
      <c r="E166" s="207"/>
      <c r="F166" s="199"/>
      <c r="G166" s="201">
        <f>'Fund Financial Stmt Template'!O149</f>
        <v>0</v>
      </c>
      <c r="H166" s="199"/>
      <c r="J166" s="201" t="str">
        <f>IF(ISNA(HLOOKUP($E$8,Hlookup!$E$1:$AF$140,125,FALSE)),"",(HLOOKUP($E$8,Hlookup!$E$1:$AF$140,125,FALSE)))</f>
        <v/>
      </c>
      <c r="L166" s="201">
        <f>IF(ISERR(G166-J166),0,(G166-J166))</f>
        <v>0</v>
      </c>
      <c r="N166" s="480" t="str">
        <f>IF($E$8="","",IF(AND(G166=0,J166=0),"",IF(ISERR((L166/ABS(J166))),"100%",L166/ABS(J166))))</f>
        <v/>
      </c>
      <c r="P166" s="486"/>
      <c r="Q166" s="185"/>
      <c r="R166" s="185"/>
    </row>
    <row r="167" spans="1:18" ht="12.75" customHeight="1">
      <c r="A167" s="209"/>
      <c r="E167" s="207"/>
      <c r="F167" s="199"/>
      <c r="G167" s="199"/>
      <c r="H167" s="199"/>
      <c r="J167" s="199"/>
      <c r="L167" s="199"/>
      <c r="N167" s="481"/>
      <c r="P167" s="199"/>
      <c r="Q167" s="185"/>
      <c r="R167" s="185"/>
    </row>
    <row r="168" spans="1:18" ht="12.75" customHeight="1">
      <c r="A168" s="188" t="s">
        <v>296</v>
      </c>
      <c r="E168" s="207"/>
      <c r="F168" s="199"/>
      <c r="G168" s="199"/>
      <c r="H168" s="199"/>
      <c r="J168" s="199"/>
      <c r="L168" s="199"/>
      <c r="N168" s="481"/>
      <c r="P168" s="199"/>
      <c r="Q168" s="185"/>
      <c r="R168" s="185"/>
    </row>
    <row r="169" spans="1:18" ht="12">
      <c r="A169" s="209" t="s">
        <v>284</v>
      </c>
      <c r="E169" s="207"/>
      <c r="F169" s="199"/>
      <c r="G169" s="201">
        <f>'Fund Financial Stmt Template'!O152</f>
        <v>0</v>
      </c>
      <c r="H169" s="199"/>
      <c r="J169" s="201" t="str">
        <f>IF(ISNA(HLOOKUP($E$8,Hlookup!$E$1:$AF$140,126,FALSE)),"",(HLOOKUP($E$8,Hlookup!$E$1:$AF$140,126,FALSE)))</f>
        <v/>
      </c>
      <c r="L169" s="201">
        <f>IF(ISERR(G169-J169),0,(G169-J169))</f>
        <v>0</v>
      </c>
      <c r="N169" s="480" t="str">
        <f>IF($E$8="","",IF(AND(G169=0,J169=0),"",IF(ISERR((L169/ABS(J169))),"100%",L169/ABS(J169))))</f>
        <v/>
      </c>
      <c r="P169" s="486"/>
      <c r="Q169" s="185"/>
      <c r="R169" s="185"/>
    </row>
    <row r="170" spans="1:18" ht="12">
      <c r="A170" s="209" t="s">
        <v>285</v>
      </c>
      <c r="E170" s="207"/>
      <c r="F170" s="199"/>
      <c r="G170" s="201">
        <f>'Fund Financial Stmt Template'!O153</f>
        <v>0</v>
      </c>
      <c r="H170" s="199"/>
      <c r="J170" s="201" t="str">
        <f>IF(ISNA(HLOOKUP($E$8,Hlookup!$E$1:$AF$140,127,FALSE)),"",(HLOOKUP($E$8,Hlookup!$E$1:$AF$140,127,FALSE)))</f>
        <v/>
      </c>
      <c r="L170" s="201">
        <f>IF(ISERR(G170-J170),0,(G170-J170))</f>
        <v>0</v>
      </c>
      <c r="N170" s="480" t="str">
        <f>IF($E$8="","",IF(AND(G170=0,J170=0),"",IF(ISERR((L170/ABS(J170))),"100%",L170/ABS(J170))))</f>
        <v/>
      </c>
      <c r="P170" s="486"/>
      <c r="Q170" s="185"/>
      <c r="R170" s="185"/>
    </row>
    <row r="171" spans="1:18" ht="12">
      <c r="A171" s="209" t="s">
        <v>68</v>
      </c>
      <c r="E171" s="825"/>
      <c r="F171" s="199"/>
      <c r="G171" s="201">
        <f>'Fund Financial Stmt Template'!O154</f>
        <v>0</v>
      </c>
      <c r="H171" s="199"/>
      <c r="J171" s="201" t="str">
        <f>IF(ISNA(HLOOKUP($E$8,Hlookup!$E$1:$AF$140,128,FALSE)),"",(HLOOKUP($E$8,Hlookup!$E$1:$AF$140,128,FALSE)))</f>
        <v/>
      </c>
      <c r="L171" s="201">
        <f>IF(ISERR(G171-J171),0,(G171-J171))</f>
        <v>0</v>
      </c>
      <c r="N171" s="480" t="str">
        <f>IF($E$8="","",IF(AND(G171=0,J171=0),"",IF(ISERR((L171/ABS(J171))),"100%",L171/ABS(J171))))</f>
        <v/>
      </c>
      <c r="P171" s="486"/>
      <c r="Q171" s="185"/>
      <c r="R171" s="185"/>
    </row>
    <row r="172" spans="1:18" ht="12">
      <c r="A172" s="209" t="s">
        <v>69</v>
      </c>
      <c r="E172" s="825"/>
      <c r="F172" s="199"/>
      <c r="G172" s="201">
        <f>'Fund Financial Stmt Template'!O155</f>
        <v>0</v>
      </c>
      <c r="H172" s="199"/>
      <c r="J172" s="201" t="str">
        <f>IF(ISNA(HLOOKUP($E$8,Hlookup!$E$1:$AF$140,129,FALSE)),"",(HLOOKUP($E$8,Hlookup!$E$1:$AF$140,129,FALSE)))</f>
        <v/>
      </c>
      <c r="L172" s="201">
        <f>IF(ISERR(G172-J172),0,-(G172-J172))</f>
        <v>0</v>
      </c>
      <c r="N172" s="480" t="str">
        <f>IF($E$8="","",IF(AND(G172=0,J172=0),"",IF(G172=0,-100%,IF(J172=0,100%,-G172/J172))))</f>
        <v/>
      </c>
      <c r="P172" s="486"/>
      <c r="Q172" s="185"/>
      <c r="R172" s="185"/>
    </row>
    <row r="173" spans="1:18" ht="12.75" hidden="1" customHeight="1">
      <c r="A173" s="828" t="s">
        <v>61</v>
      </c>
      <c r="B173" s="230"/>
      <c r="F173" s="199"/>
      <c r="G173" s="201">
        <f>'Fund Financial Stmt Template'!O156</f>
        <v>0</v>
      </c>
      <c r="H173" s="199"/>
      <c r="J173" s="201"/>
      <c r="L173" s="201">
        <f t="shared" ref="L173:L177" si="9">IF(ISERR(G173-J173),"",(G173-J173))</f>
        <v>0</v>
      </c>
      <c r="N173" s="485" t="str">
        <f>IF(L173=0,"0%",L173/ABS(J173))</f>
        <v>0%</v>
      </c>
      <c r="P173" s="201"/>
      <c r="Q173" s="185"/>
      <c r="R173" s="185"/>
    </row>
    <row r="174" spans="1:18" ht="12.75" hidden="1" customHeight="1">
      <c r="A174" s="828" t="s">
        <v>205</v>
      </c>
      <c r="B174" s="230"/>
      <c r="F174" s="199"/>
      <c r="G174" s="201">
        <f>'Fund Financial Stmt Template'!O157</f>
        <v>0</v>
      </c>
      <c r="H174" s="199"/>
      <c r="J174" s="201"/>
      <c r="L174" s="201">
        <f t="shared" si="9"/>
        <v>0</v>
      </c>
      <c r="N174" s="485" t="str">
        <f>IF(L174=0,"0%",L174/ABS(J174))</f>
        <v>0%</v>
      </c>
      <c r="P174" s="201"/>
      <c r="Q174" s="185"/>
      <c r="R174" s="185"/>
    </row>
    <row r="175" spans="1:18" ht="12.75" hidden="1" customHeight="1">
      <c r="A175" s="828" t="s">
        <v>62</v>
      </c>
      <c r="B175" s="230"/>
      <c r="F175" s="199"/>
      <c r="G175" s="201">
        <f>'Fund Financial Stmt Template'!O158</f>
        <v>0</v>
      </c>
      <c r="H175" s="199"/>
      <c r="J175" s="201"/>
      <c r="L175" s="201">
        <f t="shared" si="9"/>
        <v>0</v>
      </c>
      <c r="N175" s="485" t="str">
        <f>IF(L175=0,"0%",L175/ABS(J175))</f>
        <v>0%</v>
      </c>
      <c r="P175" s="201"/>
      <c r="Q175" s="185"/>
      <c r="R175" s="185"/>
    </row>
    <row r="176" spans="1:18" ht="12.75" hidden="1" customHeight="1">
      <c r="A176" s="828" t="s">
        <v>207</v>
      </c>
      <c r="B176" s="230"/>
      <c r="F176" s="199"/>
      <c r="G176" s="201">
        <f>'Fund Financial Stmt Template'!O159</f>
        <v>0</v>
      </c>
      <c r="H176" s="199"/>
      <c r="J176" s="201"/>
      <c r="L176" s="201">
        <f t="shared" si="9"/>
        <v>0</v>
      </c>
      <c r="N176" s="485" t="str">
        <f>IF(L176=0,"0%",L176/ABS(J176))</f>
        <v>0%</v>
      </c>
      <c r="P176" s="201"/>
      <c r="Q176" s="185"/>
      <c r="R176" s="185"/>
    </row>
    <row r="177" spans="1:18" ht="12.75" hidden="1" customHeight="1">
      <c r="A177" s="828" t="s">
        <v>63</v>
      </c>
      <c r="B177" s="230"/>
      <c r="F177" s="199"/>
      <c r="G177" s="201">
        <f>'Fund Financial Stmt Template'!O160</f>
        <v>0</v>
      </c>
      <c r="H177" s="199"/>
      <c r="J177" s="201"/>
      <c r="L177" s="201">
        <f t="shared" si="9"/>
        <v>0</v>
      </c>
      <c r="N177" s="485" t="str">
        <f>IF(L177=0,"0%",L177/ABS(J177))</f>
        <v>0%</v>
      </c>
      <c r="P177" s="201"/>
      <c r="Q177" s="185"/>
      <c r="R177" s="185"/>
    </row>
    <row r="178" spans="1:18" s="230" customFormat="1" ht="12.75" hidden="1" customHeight="1" thickBot="1">
      <c r="A178" s="828"/>
      <c r="F178" s="574"/>
      <c r="G178" s="574"/>
      <c r="H178" s="574"/>
      <c r="J178" s="574"/>
      <c r="L178" s="574"/>
      <c r="N178" s="580"/>
      <c r="P178" s="574"/>
    </row>
    <row r="179" spans="1:18" s="230" customFormat="1" ht="12.75" hidden="1" customHeight="1" thickBot="1">
      <c r="D179" s="828"/>
      <c r="E179" s="247" t="s">
        <v>447</v>
      </c>
      <c r="F179" s="574"/>
      <c r="G179" s="585">
        <f>IF(SUM(G161,G165:G166,G169:G172)=SUM('Fund Financial Stmt Template'!O162),SUM(G161,G165:G166,G169:G172),"ERROR")</f>
        <v>0</v>
      </c>
      <c r="H179" s="574"/>
      <c r="J179" s="585">
        <f>IF(ISNA(SUM(J161,J165:J166,J169:J177)),"",(SUM(J161,J165:J166,J169:J177)))</f>
        <v>0</v>
      </c>
      <c r="L179" s="585">
        <f>SUM(L161,L165,L166,L169,L170,L171)-L172</f>
        <v>0</v>
      </c>
      <c r="N179" s="576" t="str">
        <f>IF($E$8="","",IF(AND(G179=0,J179=0),"",IF(ISERR((L179/ABS(J179))),"100%",L179/ABS(J179))))</f>
        <v/>
      </c>
      <c r="P179" s="574"/>
    </row>
    <row r="180" spans="1:18" s="230" customFormat="1" ht="12.75" hidden="1" customHeight="1" thickBot="1">
      <c r="D180" s="828"/>
      <c r="E180" s="247"/>
      <c r="F180" s="574"/>
      <c r="G180" s="574"/>
      <c r="H180" s="574"/>
      <c r="J180" s="574"/>
      <c r="L180" s="574"/>
      <c r="N180" s="578"/>
      <c r="P180" s="574"/>
    </row>
    <row r="181" spans="1:18" s="230" customFormat="1" ht="12.75" hidden="1" customHeight="1" thickBot="1">
      <c r="D181" s="828"/>
      <c r="E181" s="827" t="s">
        <v>309</v>
      </c>
      <c r="F181" s="574"/>
      <c r="G181" s="586">
        <f>(SUM(G161,G165:G166,G169:G172))-'Fund Financial Stmt Template'!O162</f>
        <v>0</v>
      </c>
      <c r="H181" s="574"/>
      <c r="J181" s="574"/>
      <c r="L181" s="574"/>
      <c r="N181" s="578"/>
      <c r="P181" s="574"/>
    </row>
    <row r="182" spans="1:18" s="230" customFormat="1" ht="12.75" hidden="1" customHeight="1">
      <c r="D182" s="828"/>
      <c r="E182" s="247"/>
      <c r="F182" s="574"/>
      <c r="G182" s="574"/>
      <c r="H182" s="574"/>
      <c r="J182" s="574"/>
      <c r="L182" s="574"/>
      <c r="N182" s="580"/>
      <c r="P182" s="574"/>
    </row>
    <row r="183" spans="1:18" s="230" customFormat="1" ht="12.75" hidden="1" customHeight="1">
      <c r="A183" s="828" t="s">
        <v>449</v>
      </c>
      <c r="E183" s="826"/>
      <c r="F183" s="574"/>
      <c r="G183" s="575">
        <f>'Fund Financial Stmt Template'!O164</f>
        <v>0</v>
      </c>
      <c r="H183" s="574"/>
      <c r="J183" s="575" t="str">
        <f>IF(ISNA(HLOOKUP($E$8,Hlookup!$E$1:$AF$140,138,FALSE)),"",(HLOOKUP($E$8,Hlookup!$E$1:$AF$140,138,FALSE)))</f>
        <v/>
      </c>
      <c r="L183" s="575">
        <f>IF(ISERR(G183-J183),0,(G183-J183))</f>
        <v>0</v>
      </c>
      <c r="N183" s="576" t="str">
        <f>IF($E$8="","",IF(AND(G183=0,J183=0),"",IF(ISERR((L183/ABS(J183))),"100%",L183/ABS(J183))))</f>
        <v/>
      </c>
      <c r="P183" s="574"/>
    </row>
    <row r="184" spans="1:18" s="230" customFormat="1" ht="12.75" hidden="1" customHeight="1" thickBot="1">
      <c r="A184" s="828"/>
      <c r="F184" s="574"/>
      <c r="G184" s="574"/>
      <c r="H184" s="574"/>
      <c r="J184" s="574"/>
      <c r="L184" s="574"/>
      <c r="N184" s="580"/>
      <c r="P184" s="574"/>
    </row>
    <row r="185" spans="1:18" s="230" customFormat="1" ht="12.75" hidden="1" customHeight="1" thickBot="1">
      <c r="A185" s="828"/>
      <c r="E185" s="247" t="s">
        <v>448</v>
      </c>
      <c r="F185" s="574"/>
      <c r="G185" s="587">
        <f>IF(SUM(G179,G183)=SUM('Fund Financial Stmt Template'!O166),SUM(G179,G183),"ERROR")</f>
        <v>0</v>
      </c>
      <c r="H185" s="574"/>
      <c r="J185" s="585">
        <f>SUM(J179,J183)</f>
        <v>0</v>
      </c>
      <c r="L185" s="585">
        <f>SUM(L179,L183)</f>
        <v>0</v>
      </c>
      <c r="N185" s="576" t="str">
        <f>IF($E$8="","",IF(AND(G185=0,J185=0),"",IF(ISERR((L185/ABS(J185))),"100%",L185/ABS(J185))))</f>
        <v/>
      </c>
      <c r="P185" s="574"/>
    </row>
    <row r="186" spans="1:18" s="230" customFormat="1" ht="12.75" hidden="1" customHeight="1" thickBot="1">
      <c r="A186" s="828"/>
      <c r="E186" s="247"/>
      <c r="F186" s="574"/>
      <c r="G186" s="588"/>
      <c r="H186" s="574"/>
      <c r="J186" s="574"/>
      <c r="L186" s="574"/>
      <c r="N186" s="578"/>
      <c r="P186" s="574"/>
    </row>
    <row r="187" spans="1:18" s="230" customFormat="1" ht="12.75" hidden="1" customHeight="1" thickBot="1">
      <c r="A187" s="830"/>
      <c r="E187" s="827" t="s">
        <v>309</v>
      </c>
      <c r="G187" s="835">
        <f>SUM(G179,G183)-SUM('Fund Financial Stmt Template'!O166)</f>
        <v>0</v>
      </c>
      <c r="J187" s="830"/>
    </row>
    <row r="188" spans="1:18" ht="12.75" customHeight="1">
      <c r="F188" s="185"/>
      <c r="Q188" s="185"/>
    </row>
    <row r="189" spans="1:18" ht="12">
      <c r="F189" s="185"/>
      <c r="Q189" s="185"/>
    </row>
    <row r="190" spans="1:18" ht="12.75" customHeight="1">
      <c r="F190" s="185"/>
      <c r="Q190" s="185"/>
    </row>
    <row r="191" spans="1:18" ht="12.75" customHeight="1">
      <c r="F191" s="185"/>
      <c r="Q191" s="185"/>
    </row>
    <row r="195" spans="4:17">
      <c r="Q195" s="185"/>
    </row>
    <row r="196" spans="4:17">
      <c r="Q196" s="185"/>
    </row>
    <row r="197" spans="4:17">
      <c r="Q197" s="185"/>
    </row>
    <row r="198" spans="4:17">
      <c r="Q198" s="185"/>
    </row>
    <row r="199" spans="4:17">
      <c r="Q199" s="185"/>
    </row>
    <row r="200" spans="4:17">
      <c r="Q200" s="185"/>
    </row>
    <row r="201" spans="4:17">
      <c r="Q201" s="185"/>
    </row>
    <row r="202" spans="4:17" ht="13.5" hidden="1" thickBot="1">
      <c r="Q202" s="185"/>
    </row>
    <row r="203" spans="4:17" hidden="1">
      <c r="D203" s="836" t="s">
        <v>670</v>
      </c>
      <c r="E203" s="837">
        <f>IF('Fund Financial Stmt Template'!O54&lt;'Fund Financial Stmt Template'!O130,'Fund Financial Stmt Template'!O130,'Fund Financial Stmt Template'!O54)</f>
        <v>0</v>
      </c>
      <c r="Q203" s="185"/>
    </row>
    <row r="204" spans="4:17" hidden="1">
      <c r="D204" s="838" t="s">
        <v>671</v>
      </c>
      <c r="E204" s="839">
        <f>IF(E203&lt;D206,E206,IF(E203&lt;D207,E207,IF(E203&lt;D208,E208,IF(E203&lt;D209,E209,IF(E203&lt;D210,E210,IF(E203&lt;D211,E211,IF(E203&lt;D212,E212,IF(E203&lt;D213,E213,IF(E203&lt;D214,E214,IF(E203&lt;D215,E215,IF(E203&lt;D216,E216,IF(E203&lt;D217,E217,IF(E203&lt;D218,E218,IF(E203&lt;D219,E219))))))))))))))</f>
        <v>1000</v>
      </c>
      <c r="Q204" s="185"/>
    </row>
    <row r="205" spans="4:17" hidden="1">
      <c r="D205" s="840"/>
      <c r="E205" s="841"/>
      <c r="Q205" s="185"/>
    </row>
    <row r="206" spans="4:17" hidden="1">
      <c r="D206" s="842">
        <v>50001</v>
      </c>
      <c r="E206" s="839">
        <v>1000</v>
      </c>
    </row>
    <row r="207" spans="4:17" hidden="1">
      <c r="D207" s="842">
        <v>100001</v>
      </c>
      <c r="E207" s="839">
        <v>3000</v>
      </c>
    </row>
    <row r="208" spans="4:17" hidden="1">
      <c r="D208" s="842">
        <v>500001</v>
      </c>
      <c r="E208" s="839">
        <v>4000</v>
      </c>
    </row>
    <row r="209" spans="4:5" hidden="1">
      <c r="D209" s="842">
        <v>1000001</v>
      </c>
      <c r="E209" s="839">
        <v>13000</v>
      </c>
    </row>
    <row r="210" spans="4:5" hidden="1">
      <c r="D210" s="842">
        <v>5000001</v>
      </c>
      <c r="E210" s="839">
        <v>18000</v>
      </c>
    </row>
    <row r="211" spans="4:5" hidden="1">
      <c r="D211" s="842">
        <v>10000001</v>
      </c>
      <c r="E211" s="839">
        <v>50000</v>
      </c>
    </row>
    <row r="212" spans="4:5" hidden="1">
      <c r="D212" s="842">
        <v>50000001</v>
      </c>
      <c r="E212" s="839">
        <v>80000</v>
      </c>
    </row>
    <row r="213" spans="4:5" hidden="1">
      <c r="D213" s="842">
        <v>100000001</v>
      </c>
      <c r="E213" s="839">
        <v>240000</v>
      </c>
    </row>
    <row r="214" spans="4:5" hidden="1">
      <c r="D214" s="842">
        <v>300000001</v>
      </c>
      <c r="E214" s="839">
        <v>365000</v>
      </c>
    </row>
    <row r="215" spans="4:5" hidden="1">
      <c r="D215" s="842">
        <v>1000000001</v>
      </c>
      <c r="E215" s="839">
        <v>725000</v>
      </c>
    </row>
    <row r="216" spans="4:5" hidden="1">
      <c r="D216" s="842">
        <v>3000000001</v>
      </c>
      <c r="E216" s="839">
        <v>1775000</v>
      </c>
    </row>
    <row r="217" spans="4:5" hidden="1">
      <c r="D217" s="842">
        <v>10000000001</v>
      </c>
      <c r="E217" s="839">
        <v>4175000</v>
      </c>
    </row>
    <row r="218" spans="4:5" hidden="1">
      <c r="D218" s="842">
        <v>30000000001</v>
      </c>
      <c r="E218" s="839">
        <v>10475000</v>
      </c>
    </row>
    <row r="219" spans="4:5" ht="13.5" hidden="1" thickBot="1">
      <c r="D219" s="843">
        <v>100000000001</v>
      </c>
      <c r="E219" s="844">
        <v>22475000</v>
      </c>
    </row>
    <row r="220" spans="4:5" hidden="1"/>
  </sheetData>
  <sheetProtection algorithmName="SHA-512" hashValue="LBcy1LcPyQeVgu844nnl4bP3QQ+bf7AEmnaGlpsw3EeGnb9L4f45ZGGRDqr4bHLtoAvjM0RsTkFXZ2akUUt+0A==" saltValue="BHkAIG4Wynn7yvT46BRq+w==" spinCount="100000" sheet="1" objects="1" scenarios="1"/>
  <customSheetViews>
    <customSheetView guid="{354F272F-821B-473B-9CC5-4001AD879606}" hiddenRows="1">
      <selection activeCell="D30" sqref="D30"/>
      <rowBreaks count="2" manualBreakCount="2">
        <brk id="62" max="17" man="1"/>
        <brk id="119" max="17" man="1"/>
      </rowBreaks>
      <pageMargins left="0.32" right="0.18" top="0.78" bottom="0.46" header="0.28999999999999998" footer="0.17"/>
      <pageSetup scale="52" fitToHeight="3" orientation="landscape"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28">
    <mergeCell ref="E4:G4"/>
    <mergeCell ref="E67:G67"/>
    <mergeCell ref="E122:G122"/>
    <mergeCell ref="A5:D5"/>
    <mergeCell ref="A6:D6"/>
    <mergeCell ref="A8:D8"/>
    <mergeCell ref="A65:D65"/>
    <mergeCell ref="E8:G8"/>
    <mergeCell ref="E6:G6"/>
    <mergeCell ref="E5:G5"/>
    <mergeCell ref="D61:E61"/>
    <mergeCell ref="D103:E103"/>
    <mergeCell ref="E123:G123"/>
    <mergeCell ref="E124:G124"/>
    <mergeCell ref="E65:G65"/>
    <mergeCell ref="E66:G66"/>
    <mergeCell ref="A1:D1"/>
    <mergeCell ref="A2:D2"/>
    <mergeCell ref="A3:D3"/>
    <mergeCell ref="A4:D4"/>
    <mergeCell ref="E3:G3"/>
    <mergeCell ref="E1:G1"/>
    <mergeCell ref="E2:G2"/>
    <mergeCell ref="A124:D124"/>
    <mergeCell ref="A66:D66"/>
    <mergeCell ref="A67:D67"/>
    <mergeCell ref="A122:D122"/>
    <mergeCell ref="A123:D123"/>
  </mergeCells>
  <phoneticPr fontId="40" type="noConversion"/>
  <conditionalFormatting sqref="P18:P22">
    <cfRule type="cellIs" dxfId="12" priority="1" operator="equal">
      <formula>"Answer Required"</formula>
    </cfRule>
  </conditionalFormatting>
  <dataValidations xWindow="571" yWindow="411" count="8">
    <dataValidation type="whole" allowBlank="1" showErrorMessage="1" prompt="_x000a__x000a_" sqref="D214:D215" xr:uid="{00000000-0002-0000-1000-000000000000}">
      <formula1>0</formula1>
      <formula2>9999999999999990</formula2>
    </dataValidation>
    <dataValidation type="whole" allowBlank="1" showErrorMessage="1" error="Amount must be rounded to the nearest dollar._x000a_" prompt="_x000a__x000a_" sqref="D216:D218 D209:D213" xr:uid="{00000000-0002-0000-1000-000001000000}">
      <formula1>-999999999999999</formula1>
      <formula2>99999999999999900000</formula2>
    </dataValidation>
    <dataValidation allowBlank="1" showInputMessage="1" showErrorMessage="1" prompt="_x000a__x000a_" sqref="G219:I65552 I189:I200 G191:H200" xr:uid="{00000000-0002-0000-1000-000002000000}"/>
    <dataValidation type="whole" allowBlank="1" showErrorMessage="1" prompt="_x000a__x000a_" sqref="O120:O129 G106 H105:H106 L1:L14 M1:M17 L16:L17 G26:H26 P1:P14 O1:O17 G94:H94 M71:M73 G42:H42 G47:H47 G56:H56 G88:H88 G73 O63:O73 L63:M70 M128:M129 L187:P188 G117:H117 G129 N1:N14 G98:H98 G152:H153 G144:H145 G113:H113 G156:H156 G133:H133 G141:H141 G182:H182 G164:H164 G184:H184 G160:H160 G178:H178 L120:M127 G32:H32 G34:H34" xr:uid="{00000000-0002-0000-1000-000003000000}">
      <formula1>-99999999999999900</formula1>
      <formula2>9999999999999990000</formula2>
    </dataValidation>
    <dataValidation allowBlank="1" showErrorMessage="1" prompt="_x000a__x000a_" sqref="L128 G9:H14 L15 G7:H7 I2:I13 G63:H64 G68:H70 G71:G72 L71:L72 G188:H190 G120:H121 G125:H127 G128" xr:uid="{00000000-0002-0000-1000-000004000000}"/>
    <dataValidation allowBlank="1" showErrorMessage="1" sqref="J188 L62 L60 L58 N17 R1:R17 K112:K188 J63:J68 N63:N68 P63:P68 J1:J14 P120:P127 J120:J127 N120:N127 K71:K110 I112:I188 Q1:Q188 R19:R188 I14:I110 K1:K68" xr:uid="{00000000-0002-0000-1000-000005000000}"/>
    <dataValidation allowBlank="1" sqref="E165:E170 G99:H104 G57:H62 G27:H31 E1:G6 E8:G8 G18:H25 G165:H177 N69:N70 J69:K70 G43:H46 G89:H93 G114:H116 P69:P70 G35:H41 G95:H97 G179:H181 G161:H163 G157:H159 G154:H155 G142:H143 E112 G105 G118:H119 G146:H151 G183:H183 G134:H140 G130:H132 G185:H186 G74:H87 G48:H55 G107:H110 G112:H112 G33:H33" xr:uid="{00000000-0002-0000-1000-000006000000}"/>
    <dataValidation type="list" allowBlank="1" showErrorMessage="1" error="Use the drop down list to select the Government Fund Type and Name" sqref="H8" xr:uid="{00000000-0002-0000-1000-000007000000}">
      <formula1>$D$192:$D$202</formula1>
    </dataValidation>
  </dataValidations>
  <pageMargins left="0.32" right="0.18" top="0.78" bottom="0.46" header="0.28999999999999998" footer="0.17"/>
  <pageSetup scale="52" fitToHeight="3" orientation="landscape"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rowBreaks count="1" manualBreakCount="1">
    <brk id="121" max="17" man="1"/>
  </rowBreaks>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7"/>
  <sheetViews>
    <sheetView workbookViewId="0"/>
  </sheetViews>
  <sheetFormatPr defaultColWidth="9.140625" defaultRowHeight="12.75"/>
  <cols>
    <col min="1" max="1" width="38.7109375" style="9" customWidth="1"/>
    <col min="2" max="2" width="15.7109375" style="9" customWidth="1"/>
    <col min="3" max="3" width="17" style="9" customWidth="1"/>
    <col min="4" max="4" width="14.5703125" style="9" customWidth="1"/>
    <col min="5" max="5" width="14.140625" style="9" customWidth="1"/>
    <col min="6" max="6" width="11" style="9" customWidth="1"/>
    <col min="7" max="16384" width="9.140625" style="9"/>
  </cols>
  <sheetData>
    <row r="1" spans="1:7" s="12" customFormat="1" ht="12.75" customHeight="1">
      <c r="A1" s="53" t="s">
        <v>399</v>
      </c>
      <c r="B1" s="1182" t="str">
        <f>IF('Fund Financial Stmt Template'!E1="","",'Fund Financial Stmt Template'!E1)</f>
        <v/>
      </c>
      <c r="C1" s="1182"/>
      <c r="D1" s="1182"/>
      <c r="E1" s="1182"/>
      <c r="F1" s="1182"/>
      <c r="G1" s="11"/>
    </row>
    <row r="2" spans="1:7" s="12" customFormat="1" ht="29.25" customHeight="1">
      <c r="A2" s="52" t="s">
        <v>362</v>
      </c>
      <c r="B2" s="1183" t="str">
        <f>'Fund Financial Stmt Template'!E2</f>
        <v/>
      </c>
      <c r="C2" s="1183"/>
      <c r="D2" s="1183"/>
      <c r="E2" s="1183"/>
      <c r="F2" s="1183"/>
      <c r="G2" s="11"/>
    </row>
    <row r="3" spans="1:7" s="12" customFormat="1" ht="12.75" customHeight="1">
      <c r="A3" s="52" t="s">
        <v>419</v>
      </c>
      <c r="B3" s="1184" t="str">
        <f>IF('Fund Financial Stmt Template'!E3="","",'Fund Financial Stmt Template'!E3)</f>
        <v/>
      </c>
      <c r="C3" s="1184"/>
      <c r="D3" s="1184"/>
      <c r="E3" s="1184"/>
      <c r="F3" s="1184"/>
      <c r="G3" s="11"/>
    </row>
    <row r="4" spans="1:7" s="12" customFormat="1" ht="12.75" customHeight="1">
      <c r="A4" s="52" t="s">
        <v>420</v>
      </c>
      <c r="B4" s="1184" t="str">
        <f>IF('Fund Financial Stmt Template'!E4="","",'Fund Financial Stmt Template'!E4)</f>
        <v/>
      </c>
      <c r="C4" s="1184"/>
      <c r="D4" s="1184"/>
      <c r="E4" s="1184"/>
      <c r="F4" s="1184"/>
      <c r="G4" s="11"/>
    </row>
    <row r="5" spans="1:7" s="12" customFormat="1" ht="12.75" customHeight="1">
      <c r="A5" s="52" t="s">
        <v>206</v>
      </c>
      <c r="B5" s="1184" t="str">
        <f>IF('Fund Financial Stmt Template'!E5="","",'Fund Financial Stmt Template'!E5)</f>
        <v/>
      </c>
      <c r="C5" s="1184"/>
      <c r="D5" s="1184"/>
      <c r="E5" s="1184"/>
      <c r="F5" s="1184"/>
      <c r="G5" s="11"/>
    </row>
    <row r="6" spans="1:7" s="12" customFormat="1" ht="12.75" customHeight="1">
      <c r="A6" s="52" t="s">
        <v>418</v>
      </c>
      <c r="B6" s="1184" t="str">
        <f>IF('Fund Financial Stmt Template'!E6="","",'Fund Financial Stmt Template'!E6)</f>
        <v/>
      </c>
      <c r="C6" s="1184"/>
      <c r="D6" s="1184"/>
      <c r="E6" s="1184"/>
      <c r="F6" s="1184"/>
      <c r="G6" s="11"/>
    </row>
    <row r="7" spans="1:7" s="12" customFormat="1" ht="12.75" customHeight="1">
      <c r="A7" s="4"/>
      <c r="B7" s="13"/>
      <c r="C7" s="11"/>
      <c r="D7" s="11"/>
      <c r="E7" s="11"/>
      <c r="F7" s="11"/>
      <c r="G7" s="11"/>
    </row>
    <row r="8" spans="1:7" s="12" customFormat="1" ht="12.75" customHeight="1">
      <c r="A8" s="52" t="s">
        <v>491</v>
      </c>
      <c r="B8" s="1185">
        <f>'Fund Financial Stmt Template'!E8</f>
        <v>0</v>
      </c>
      <c r="C8" s="1185"/>
      <c r="D8" s="1185"/>
      <c r="E8" s="1185"/>
      <c r="F8" s="1185"/>
      <c r="G8" s="11"/>
    </row>
    <row r="9" spans="1:7" s="12" customFormat="1" ht="12.75" customHeight="1">
      <c r="A9" s="14"/>
      <c r="B9" s="13"/>
      <c r="C9" s="11"/>
      <c r="D9" s="11"/>
      <c r="E9" s="11"/>
      <c r="F9" s="11"/>
      <c r="G9" s="11"/>
    </row>
    <row r="10" spans="1:7" s="12" customFormat="1" ht="12.6" customHeight="1">
      <c r="A10" s="4" t="s">
        <v>273</v>
      </c>
      <c r="B10" s="3"/>
      <c r="C10" s="3"/>
      <c r="D10" s="3"/>
      <c r="G10" s="15"/>
    </row>
    <row r="11" spans="1:7" s="16" customFormat="1" ht="12.6" customHeight="1">
      <c r="A11" s="5" t="str">
        <f>'Tab 2-Receivables'!A11</f>
        <v>For the Year Ended June 30, 2024</v>
      </c>
      <c r="B11" s="3"/>
      <c r="C11" s="3"/>
      <c r="D11" s="3"/>
      <c r="F11" s="17"/>
      <c r="G11" s="18"/>
    </row>
    <row r="12" spans="1:7" s="16" customFormat="1" ht="12.6" customHeight="1">
      <c r="A12" s="19"/>
      <c r="B12" s="20"/>
      <c r="C12" s="20"/>
      <c r="D12" s="20"/>
      <c r="E12" s="21"/>
      <c r="F12" s="22"/>
      <c r="G12" s="82"/>
    </row>
    <row r="13" spans="1:7" s="16" customFormat="1" ht="12.6" customHeight="1">
      <c r="A13" s="23"/>
      <c r="B13" s="3"/>
      <c r="C13" s="3"/>
      <c r="D13" s="3"/>
      <c r="F13" s="17"/>
      <c r="G13" s="18"/>
    </row>
    <row r="14" spans="1:7">
      <c r="A14" s="1180" t="s">
        <v>327</v>
      </c>
      <c r="B14" s="1181"/>
      <c r="C14" s="1181"/>
    </row>
    <row r="15" spans="1:7">
      <c r="A15" s="24"/>
      <c r="E15" s="25"/>
    </row>
    <row r="16" spans="1:7" ht="57" customHeight="1">
      <c r="A16" s="24"/>
      <c r="B16" s="26" t="s">
        <v>3084</v>
      </c>
      <c r="C16" s="26" t="s">
        <v>400</v>
      </c>
      <c r="D16" s="26" t="s">
        <v>402</v>
      </c>
      <c r="E16" s="26" t="s">
        <v>3085</v>
      </c>
      <c r="F16" s="26" t="s">
        <v>401</v>
      </c>
      <c r="G16" s="63" t="s">
        <v>308</v>
      </c>
    </row>
    <row r="17" spans="1:7">
      <c r="A17" s="3" t="s">
        <v>354</v>
      </c>
      <c r="B17" s="43"/>
      <c r="C17" s="43"/>
      <c r="D17" s="43"/>
      <c r="E17" s="27">
        <f>IF(SUM(B17:D17)=SUM('Govwide Fin. Stmt Template'!O86,'Govwide Fin. Stmt Template'!O99),SUM(B17:D17),"ERROR")</f>
        <v>0</v>
      </c>
      <c r="F17" s="27">
        <f>'Govwide Fin. Stmt Template'!O86</f>
        <v>0</v>
      </c>
      <c r="G17" s="62">
        <f>(SUM(B17:D17))-SUM('Govwide Fin. Stmt Template'!O86+'Govwide Fin. Stmt Template'!O99)</f>
        <v>0</v>
      </c>
    </row>
    <row r="18" spans="1:7">
      <c r="A18" s="3" t="s">
        <v>490</v>
      </c>
      <c r="B18" s="43"/>
      <c r="C18" s="43"/>
      <c r="D18" s="43"/>
      <c r="E18" s="27">
        <f>IF(SUM(B18:D18)=SUM('Govwide Fin. Stmt Template'!O91,'Govwide Fin. Stmt Template'!O104),SUM(B18:D18),"ERROR")</f>
        <v>0</v>
      </c>
      <c r="F18" s="27">
        <f>'Govwide Fin. Stmt Template'!O91</f>
        <v>0</v>
      </c>
      <c r="G18" s="62">
        <f>(SUM(B18:D18))-SUM('Govwide Fin. Stmt Template'!O91+'Govwide Fin. Stmt Template'!O104)</f>
        <v>0</v>
      </c>
    </row>
    <row r="19" spans="1:7">
      <c r="A19" s="3" t="s">
        <v>237</v>
      </c>
      <c r="B19" s="43"/>
      <c r="C19" s="43"/>
      <c r="D19" s="43"/>
      <c r="E19" s="27">
        <f>IF(SUM(B19:D19)=SUM('Govwide Fin. Stmt Template'!O92,'Govwide Fin. Stmt Template'!O105),SUM(B19:D19),"ERROR")</f>
        <v>0</v>
      </c>
      <c r="F19" s="27">
        <f>'Govwide Fin. Stmt Template'!O92</f>
        <v>0</v>
      </c>
      <c r="G19" s="62">
        <f>(SUM(B19:D19))-SUM('Govwide Fin. Stmt Template'!O92+'Govwide Fin. Stmt Template'!O105)</f>
        <v>0</v>
      </c>
    </row>
    <row r="20" spans="1:7" ht="13.5" thickBot="1">
      <c r="A20" s="1" t="s">
        <v>403</v>
      </c>
      <c r="B20" s="28">
        <f>SUM(B17:B19)</f>
        <v>0</v>
      </c>
      <c r="C20" s="28">
        <f>SUM(C17:C19)</f>
        <v>0</v>
      </c>
      <c r="D20" s="28">
        <f>SUM(D17:D19)</f>
        <v>0</v>
      </c>
      <c r="E20" s="28">
        <f>SUM(E17:E19)</f>
        <v>0</v>
      </c>
      <c r="F20" s="28">
        <f>SUM(F17:F19)</f>
        <v>0</v>
      </c>
      <c r="G20" s="63"/>
    </row>
    <row r="21" spans="1:7" ht="13.5" thickTop="1">
      <c r="A21" s="1"/>
      <c r="B21" s="38"/>
      <c r="C21" s="38"/>
      <c r="D21" s="38"/>
      <c r="E21" s="38"/>
      <c r="F21" s="38"/>
    </row>
    <row r="22" spans="1:7">
      <c r="A22" s="1"/>
      <c r="B22" s="38"/>
      <c r="C22" s="38"/>
      <c r="D22" s="38"/>
      <c r="E22" s="38"/>
      <c r="F22" s="38"/>
    </row>
    <row r="23" spans="1:7">
      <c r="A23" s="1"/>
      <c r="B23" s="38"/>
      <c r="C23" s="38"/>
      <c r="D23" s="38"/>
      <c r="E23" s="38"/>
      <c r="F23" s="38"/>
    </row>
    <row r="24" spans="1:7">
      <c r="A24" s="57" t="s">
        <v>328</v>
      </c>
    </row>
    <row r="25" spans="1:7">
      <c r="A25" s="54"/>
    </row>
    <row r="26" spans="1:7" ht="38.25">
      <c r="A26" s="54"/>
      <c r="B26" s="58" t="s">
        <v>3086</v>
      </c>
      <c r="C26" s="58" t="s">
        <v>324</v>
      </c>
      <c r="D26" s="58" t="s">
        <v>325</v>
      </c>
    </row>
    <row r="27" spans="1:7">
      <c r="A27" s="3" t="s">
        <v>354</v>
      </c>
      <c r="B27" s="27">
        <f>B17</f>
        <v>0</v>
      </c>
      <c r="C27" s="27" t="e">
        <f>VLOOKUP($B$8,'Ending FB - FY 2023'!$A$1:$M$19,11,FALSE)</f>
        <v>#N/A</v>
      </c>
      <c r="D27" s="27" t="e">
        <f>B27-C27</f>
        <v>#N/A</v>
      </c>
    </row>
    <row r="28" spans="1:7">
      <c r="A28" s="3" t="s">
        <v>490</v>
      </c>
      <c r="B28" s="27">
        <f>B18</f>
        <v>0</v>
      </c>
      <c r="C28" s="27" t="e">
        <f>VLOOKUP($B$8,'Ending FB - FY 2023'!$A$1:$M$19,12,FALSE)</f>
        <v>#N/A</v>
      </c>
      <c r="D28" s="27" t="e">
        <f>B28-C28</f>
        <v>#N/A</v>
      </c>
    </row>
    <row r="29" spans="1:7">
      <c r="A29" s="3" t="s">
        <v>237</v>
      </c>
      <c r="B29" s="27">
        <f>B19</f>
        <v>0</v>
      </c>
      <c r="C29" s="27" t="e">
        <f>VLOOKUP($B$8,'Ending FB - FY 2023'!$A$1:$M$19,13,FALSE)</f>
        <v>#N/A</v>
      </c>
      <c r="D29" s="27" t="e">
        <f>B29-C29</f>
        <v>#N/A</v>
      </c>
    </row>
    <row r="30" spans="1:7" ht="13.5" thickBot="1">
      <c r="A30" s="1" t="s">
        <v>403</v>
      </c>
      <c r="B30" s="28">
        <f>SUM(B27:B29)</f>
        <v>0</v>
      </c>
      <c r="C30" s="28" t="e">
        <f>SUM(C27:C29)</f>
        <v>#N/A</v>
      </c>
      <c r="D30" s="28" t="e">
        <f>SUM(D27:D29)</f>
        <v>#N/A</v>
      </c>
    </row>
    <row r="31" spans="1:7" ht="13.5" thickTop="1">
      <c r="A31" s="55"/>
    </row>
    <row r="32" spans="1:7">
      <c r="A32" s="55"/>
    </row>
    <row r="33" spans="1:7">
      <c r="A33" s="56"/>
    </row>
    <row r="34" spans="1:7">
      <c r="A34" s="64" t="s">
        <v>326</v>
      </c>
    </row>
    <row r="35" spans="1:7" ht="128.25" customHeight="1">
      <c r="A35" s="1177"/>
      <c r="B35" s="1178"/>
      <c r="C35" s="1178"/>
      <c r="D35" s="1178"/>
      <c r="E35" s="1178"/>
      <c r="F35" s="1179"/>
    </row>
    <row r="36" spans="1:7">
      <c r="A36" s="1"/>
      <c r="B36" s="38"/>
      <c r="C36" s="38"/>
      <c r="D36" s="38"/>
      <c r="E36" s="38"/>
      <c r="F36" s="38"/>
    </row>
    <row r="37" spans="1:7">
      <c r="A37" s="1"/>
      <c r="B37" s="38"/>
      <c r="C37" s="38"/>
      <c r="D37" s="38"/>
      <c r="E37" s="38"/>
      <c r="F37" s="38"/>
    </row>
    <row r="38" spans="1:7">
      <c r="A38" s="24"/>
    </row>
    <row r="39" spans="1:7">
      <c r="A39" s="29"/>
      <c r="B39" s="30"/>
      <c r="C39" s="30"/>
      <c r="D39" s="30"/>
      <c r="E39" s="30"/>
      <c r="F39" s="30"/>
      <c r="G39" s="30"/>
    </row>
    <row r="42" spans="1:7">
      <c r="A42" s="44" t="s">
        <v>506</v>
      </c>
    </row>
    <row r="45" spans="1:7">
      <c r="A45" s="31" t="s">
        <v>500</v>
      </c>
      <c r="B45" s="32" t="s">
        <v>501</v>
      </c>
      <c r="C45" s="32" t="s">
        <v>502</v>
      </c>
      <c r="D45" s="31" t="s">
        <v>503</v>
      </c>
    </row>
    <row r="46" spans="1:7">
      <c r="A46" s="33"/>
      <c r="B46" s="34"/>
      <c r="C46" s="34"/>
    </row>
    <row r="47" spans="1:7">
      <c r="A47" s="37">
        <v>2022</v>
      </c>
      <c r="B47" s="10"/>
      <c r="C47" s="10"/>
      <c r="D47" s="36">
        <f t="shared" ref="D47:D62" si="0">SUM(B47:C47)</f>
        <v>0</v>
      </c>
    </row>
    <row r="48" spans="1:7">
      <c r="A48" s="35">
        <v>2023</v>
      </c>
      <c r="B48" s="10"/>
      <c r="C48" s="10"/>
      <c r="D48" s="36">
        <f t="shared" si="0"/>
        <v>0</v>
      </c>
    </row>
    <row r="49" spans="1:7">
      <c r="A49" s="37">
        <v>2024</v>
      </c>
      <c r="B49" s="10"/>
      <c r="C49" s="10"/>
      <c r="D49" s="36">
        <f t="shared" si="0"/>
        <v>0</v>
      </c>
    </row>
    <row r="50" spans="1:7">
      <c r="A50" s="35">
        <v>2025</v>
      </c>
      <c r="B50" s="10"/>
      <c r="C50" s="10"/>
      <c r="D50" s="36">
        <f t="shared" si="0"/>
        <v>0</v>
      </c>
      <c r="G50" s="35"/>
    </row>
    <row r="51" spans="1:7">
      <c r="A51" s="37">
        <v>2026</v>
      </c>
      <c r="B51" s="10"/>
      <c r="C51" s="10"/>
      <c r="D51" s="36">
        <f t="shared" si="0"/>
        <v>0</v>
      </c>
      <c r="G51" s="35"/>
    </row>
    <row r="52" spans="1:7">
      <c r="A52" s="84" t="s">
        <v>3087</v>
      </c>
      <c r="B52" s="10"/>
      <c r="C52" s="10"/>
      <c r="D52" s="36">
        <f t="shared" si="0"/>
        <v>0</v>
      </c>
      <c r="G52" s="35"/>
    </row>
    <row r="53" spans="1:7">
      <c r="A53" s="84" t="s">
        <v>3088</v>
      </c>
      <c r="B53" s="10"/>
      <c r="C53" s="10"/>
      <c r="D53" s="36">
        <f t="shared" si="0"/>
        <v>0</v>
      </c>
      <c r="G53" s="35"/>
    </row>
    <row r="54" spans="1:7">
      <c r="A54" s="84" t="s">
        <v>3089</v>
      </c>
      <c r="B54" s="10"/>
      <c r="C54" s="10"/>
      <c r="D54" s="36">
        <f t="shared" si="0"/>
        <v>0</v>
      </c>
      <c r="G54" s="35"/>
    </row>
    <row r="55" spans="1:7">
      <c r="A55" s="84" t="s">
        <v>3090</v>
      </c>
      <c r="B55" s="10"/>
      <c r="C55" s="10"/>
      <c r="D55" s="36">
        <f t="shared" si="0"/>
        <v>0</v>
      </c>
      <c r="G55" s="37"/>
    </row>
    <row r="56" spans="1:7">
      <c r="A56" s="84" t="s">
        <v>3091</v>
      </c>
      <c r="B56" s="10"/>
      <c r="C56" s="10"/>
      <c r="D56" s="36">
        <f t="shared" si="0"/>
        <v>0</v>
      </c>
      <c r="G56" s="37"/>
    </row>
    <row r="57" spans="1:7">
      <c r="A57" s="84" t="s">
        <v>3092</v>
      </c>
      <c r="B57" s="10"/>
      <c r="C57" s="10"/>
      <c r="D57" s="38">
        <f t="shared" si="0"/>
        <v>0</v>
      </c>
      <c r="G57" s="37"/>
    </row>
    <row r="58" spans="1:7">
      <c r="A58" s="37" t="s">
        <v>504</v>
      </c>
      <c r="B58" s="10"/>
      <c r="C58" s="10"/>
      <c r="D58" s="38">
        <f t="shared" si="0"/>
        <v>0</v>
      </c>
      <c r="G58" s="37"/>
    </row>
    <row r="59" spans="1:7" ht="22.5">
      <c r="A59" s="39" t="s">
        <v>505</v>
      </c>
      <c r="B59" s="10"/>
      <c r="C59" s="10"/>
      <c r="D59" s="38">
        <f t="shared" si="0"/>
        <v>0</v>
      </c>
      <c r="G59" s="37"/>
    </row>
    <row r="60" spans="1:7">
      <c r="A60" s="37" t="s">
        <v>87</v>
      </c>
      <c r="B60" s="10"/>
      <c r="C60" s="10"/>
      <c r="D60" s="38">
        <f t="shared" si="0"/>
        <v>0</v>
      </c>
      <c r="G60" s="37"/>
    </row>
    <row r="61" spans="1:7">
      <c r="A61" s="37" t="s">
        <v>88</v>
      </c>
      <c r="B61" s="10"/>
      <c r="C61" s="10"/>
      <c r="D61" s="38">
        <f t="shared" si="0"/>
        <v>0</v>
      </c>
      <c r="G61" s="37"/>
    </row>
    <row r="62" spans="1:7">
      <c r="A62" s="39" t="s">
        <v>89</v>
      </c>
      <c r="B62" s="10"/>
      <c r="C62" s="10"/>
      <c r="D62" s="40">
        <f t="shared" si="0"/>
        <v>0</v>
      </c>
      <c r="G62" s="37"/>
    </row>
    <row r="63" spans="1:7">
      <c r="A63" s="1"/>
      <c r="B63" s="41"/>
      <c r="C63" s="41"/>
      <c r="D63" s="36"/>
      <c r="G63" s="37"/>
    </row>
    <row r="64" spans="1:7" ht="13.5" thickBot="1">
      <c r="A64" s="37" t="s">
        <v>503</v>
      </c>
      <c r="B64" s="42">
        <f>IF(SUM(B47:B62)=SUM('Govwide Fin. Stmt Template'!O91,'Govwide Fin. Stmt Template'!O104),SUM(B47:B62),"ERROR")</f>
        <v>0</v>
      </c>
      <c r="C64" s="42">
        <f>SUM(C47:C62)</f>
        <v>0</v>
      </c>
      <c r="D64" s="42">
        <f>SUM(D47:D62)</f>
        <v>0</v>
      </c>
    </row>
    <row r="65" spans="1:5" ht="13.5" thickTop="1">
      <c r="A65" s="61" t="s">
        <v>309</v>
      </c>
      <c r="B65" s="83">
        <f>(SUM(B47:B62)-(SUM('Govwide Fin. Stmt Template'!O91,'Govwide Fin. Stmt Template'!O104)))</f>
        <v>0</v>
      </c>
    </row>
    <row r="74" spans="1:5">
      <c r="A74" s="1172" t="s">
        <v>3093</v>
      </c>
      <c r="B74" s="1173"/>
      <c r="C74" s="1174"/>
      <c r="D74" s="1175"/>
      <c r="E74" s="1176"/>
    </row>
    <row r="75" spans="1:5">
      <c r="A75" s="1172" t="s">
        <v>3094</v>
      </c>
      <c r="B75" s="1173"/>
      <c r="C75" s="1174"/>
      <c r="D75" s="1175"/>
      <c r="E75" s="1176"/>
    </row>
    <row r="76" spans="1:5">
      <c r="A76" s="1172" t="s">
        <v>3095</v>
      </c>
      <c r="B76" s="1173"/>
      <c r="C76" s="1174"/>
      <c r="D76" s="1170"/>
      <c r="E76" s="1171"/>
    </row>
    <row r="77" spans="1:5">
      <c r="A77" s="1172" t="s">
        <v>3096</v>
      </c>
      <c r="B77" s="1173"/>
      <c r="C77" s="1174"/>
      <c r="D77" s="1170"/>
      <c r="E77" s="1171"/>
    </row>
  </sheetData>
  <customSheetViews>
    <customSheetView guid="{354F272F-821B-473B-9CC5-4001AD879606}" state="hidden">
      <rowBreaks count="1" manualBreakCount="1">
        <brk id="39" max="8" man="1"/>
      </rowBreaks>
      <pageMargins left="0.27" right="0.18" top="0.78" bottom="0.46" header="0.28999999999999998" footer="0.17"/>
      <pageSetup scale="70" orientation="portrait"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17">
    <mergeCell ref="A35:F35"/>
    <mergeCell ref="A14:C14"/>
    <mergeCell ref="B1:F1"/>
    <mergeCell ref="B2:F2"/>
    <mergeCell ref="B3:F3"/>
    <mergeCell ref="B4:F4"/>
    <mergeCell ref="B5:F5"/>
    <mergeCell ref="B6:F6"/>
    <mergeCell ref="B8:F8"/>
    <mergeCell ref="D77:E77"/>
    <mergeCell ref="A76:C76"/>
    <mergeCell ref="A77:C77"/>
    <mergeCell ref="A74:C74"/>
    <mergeCell ref="D74:E74"/>
    <mergeCell ref="D75:E75"/>
    <mergeCell ref="D76:E76"/>
    <mergeCell ref="A75:C75"/>
  </mergeCells>
  <phoneticPr fontId="40" type="noConversion"/>
  <dataValidations xWindow="168" yWindow="207" count="9">
    <dataValidation type="whole" allowBlank="1" showErrorMessage="1" error="Enter only whole numbers" sqref="B61:C62" xr:uid="{00000000-0002-0000-1100-000000000000}">
      <formula1>-9999999999999</formula1>
      <formula2>9999999999999</formula2>
    </dataValidation>
    <dataValidation allowBlank="1" sqref="D47:D62 B64:D64 B36:F37 E17:F19 B20:F23" xr:uid="{00000000-0002-0000-1100-000001000000}"/>
    <dataValidation type="whole" allowBlank="1" showErrorMessage="1" error="Enter a negative whole number only." sqref="B58:C60" xr:uid="{00000000-0002-0000-1100-000002000000}">
      <formula1>-1000000000000</formula1>
      <formula2>0</formula2>
    </dataValidation>
    <dataValidation allowBlank="1" showInputMessage="1" showErrorMessage="1" error="Please enter a date prior to 12/16/06." sqref="D74:E77" xr:uid="{00000000-0002-0000-1100-000003000000}"/>
    <dataValidation type="whole" allowBlank="1" showInputMessage="1" showErrorMessage="1" sqref="D30" xr:uid="{00000000-0002-0000-1100-000004000000}">
      <formula1>-99999999999999900000</formula1>
      <formula2>9.99999999999999E+23</formula2>
    </dataValidation>
    <dataValidation type="whole" allowBlank="1" showInputMessage="1" showErrorMessage="1" sqref="B30:C30" xr:uid="{00000000-0002-0000-1100-000005000000}">
      <formula1>0</formula1>
      <formula2>9.99999999999999E+23</formula2>
    </dataValidation>
    <dataValidation allowBlank="1" showInputMessage="1" showErrorMessage="1" error="Please enter a whole number." sqref="B27:B29" xr:uid="{00000000-0002-0000-1100-000006000000}"/>
    <dataValidation type="whole" allowBlank="1" showErrorMessage="1" error="Enter a whole number and it must be negative." sqref="D27:D29" xr:uid="{00000000-0002-0000-1100-000007000000}">
      <formula1>-1000000000000</formula1>
      <formula2>0</formula2>
    </dataValidation>
    <dataValidation type="whole" allowBlank="1" showErrorMessage="1" error="Enter a whole number." sqref="B17:D19 B47:C57" xr:uid="{00000000-0002-0000-1100-000008000000}">
      <formula1>-9999999999999</formula1>
      <formula2>9999999999999</formula2>
    </dataValidation>
  </dataValidations>
  <pageMargins left="0.27" right="0.18" top="0.78" bottom="0.46" header="0.28999999999999998" footer="0.17"/>
  <pageSetup scale="70" orientation="portrait"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rowBreaks count="1" manualBreakCount="1">
    <brk id="39" max="8" man="1"/>
  </rowBreaks>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S47"/>
  <sheetViews>
    <sheetView workbookViewId="0"/>
  </sheetViews>
  <sheetFormatPr defaultColWidth="8" defaultRowHeight="12.6" customHeight="1"/>
  <cols>
    <col min="1" max="1" width="29.5703125" style="591" customWidth="1"/>
    <col min="2" max="3" width="2" style="591" customWidth="1"/>
    <col min="4" max="4" width="15.42578125" style="8" customWidth="1"/>
    <col min="5" max="6" width="2" style="591" customWidth="1"/>
    <col min="7" max="7" width="16.28515625" style="8" customWidth="1"/>
    <col min="8" max="9" width="2" style="591" customWidth="1"/>
    <col min="10" max="10" width="15.85546875" style="8" customWidth="1"/>
    <col min="11" max="12" width="2" style="591" customWidth="1"/>
    <col min="13" max="13" width="16.28515625" style="8" customWidth="1"/>
    <col min="14" max="14" width="10" style="591" customWidth="1"/>
    <col min="15" max="15" width="2.5703125" style="591" customWidth="1"/>
    <col min="16" max="16" width="8" style="591" customWidth="1"/>
    <col min="17" max="17" width="1.85546875" style="591" customWidth="1"/>
    <col min="18" max="19" width="8" style="591" hidden="1" customWidth="1"/>
    <col min="20" max="16384" width="8" style="591"/>
  </cols>
  <sheetData>
    <row r="1" spans="1:14" ht="12.75" customHeight="1">
      <c r="A1" s="2" t="s">
        <v>399</v>
      </c>
      <c r="B1" s="589"/>
      <c r="C1" s="590"/>
      <c r="D1" s="590"/>
      <c r="E1" s="590"/>
      <c r="F1" s="590"/>
      <c r="G1" s="1189">
        <f>'Fund Financial Stmt Template'!E1</f>
        <v>0</v>
      </c>
      <c r="H1" s="1190"/>
      <c r="I1" s="1190"/>
      <c r="J1" s="1190"/>
      <c r="K1" s="1190"/>
      <c r="L1" s="1190"/>
      <c r="M1" s="1190"/>
      <c r="N1" s="1191"/>
    </row>
    <row r="2" spans="1:14" ht="32.25" customHeight="1">
      <c r="A2" s="4" t="s">
        <v>362</v>
      </c>
      <c r="B2" s="589"/>
      <c r="C2" s="14"/>
      <c r="D2" s="14"/>
      <c r="E2" s="14"/>
      <c r="F2" s="14"/>
      <c r="G2" s="1195" t="str">
        <f>'Fund Financial Stmt Template'!E2</f>
        <v/>
      </c>
      <c r="H2" s="1196"/>
      <c r="I2" s="1196"/>
      <c r="J2" s="1196"/>
      <c r="K2" s="1196"/>
      <c r="L2" s="1196"/>
      <c r="M2" s="1196"/>
      <c r="N2" s="1197"/>
    </row>
    <row r="3" spans="1:14" ht="12.75" customHeight="1">
      <c r="A3" s="4" t="s">
        <v>419</v>
      </c>
      <c r="B3" s="589"/>
      <c r="C3" s="14"/>
      <c r="D3" s="14"/>
      <c r="E3" s="14"/>
      <c r="F3" s="14"/>
      <c r="G3" s="1192" t="str">
        <f>IF('Fund Financial Stmt Template'!G3="","",'Fund Financial Stmt Template'!G3)</f>
        <v/>
      </c>
      <c r="H3" s="1187"/>
      <c r="I3" s="1187"/>
      <c r="J3" s="1187"/>
      <c r="K3" s="1187"/>
      <c r="L3" s="1187"/>
      <c r="M3" s="1187"/>
      <c r="N3" s="1188"/>
    </row>
    <row r="4" spans="1:14" ht="12.75" customHeight="1">
      <c r="A4" s="4" t="s">
        <v>420</v>
      </c>
      <c r="B4" s="589"/>
      <c r="C4" s="590"/>
      <c r="D4" s="590"/>
      <c r="E4" s="590"/>
      <c r="F4" s="590"/>
      <c r="G4" s="1193" t="str">
        <f>IF('Fund Financial Stmt Template'!G4="","",'Fund Financial Stmt Template'!G4)</f>
        <v/>
      </c>
      <c r="H4" s="1187"/>
      <c r="I4" s="1187"/>
      <c r="J4" s="1187"/>
      <c r="K4" s="1187"/>
      <c r="L4" s="1187"/>
      <c r="M4" s="1187"/>
      <c r="N4" s="1188"/>
    </row>
    <row r="5" spans="1:14" ht="12.75" customHeight="1">
      <c r="A5" s="4" t="s">
        <v>421</v>
      </c>
      <c r="B5" s="589"/>
      <c r="C5" s="590"/>
      <c r="D5" s="590"/>
      <c r="E5" s="590"/>
      <c r="F5" s="590"/>
      <c r="G5" s="1194" t="str">
        <f>IF('Fund Financial Stmt Template'!G5="","",'Fund Financial Stmt Template'!G5)</f>
        <v/>
      </c>
      <c r="H5" s="1187"/>
      <c r="I5" s="1187"/>
      <c r="J5" s="1187"/>
      <c r="K5" s="1187"/>
      <c r="L5" s="1187"/>
      <c r="M5" s="1187"/>
      <c r="N5" s="1188"/>
    </row>
    <row r="6" spans="1:14" ht="12.75" customHeight="1">
      <c r="A6" s="4" t="s">
        <v>418</v>
      </c>
      <c r="B6" s="592"/>
      <c r="C6" s="590"/>
      <c r="D6" s="590"/>
      <c r="E6" s="590"/>
      <c r="F6" s="590"/>
      <c r="G6" s="1186" t="str">
        <f>IF('Fund Financial Stmt Template'!G6="","",'Fund Financial Stmt Template'!G6)</f>
        <v/>
      </c>
      <c r="H6" s="1187"/>
      <c r="I6" s="1187"/>
      <c r="J6" s="1187"/>
      <c r="K6" s="1187"/>
      <c r="L6" s="1187"/>
      <c r="M6" s="1187"/>
      <c r="N6" s="1188"/>
    </row>
    <row r="7" spans="1:14" ht="12.75" customHeight="1">
      <c r="A7" s="4"/>
      <c r="B7" s="589"/>
      <c r="C7" s="590"/>
      <c r="D7" s="590"/>
      <c r="E7" s="590"/>
      <c r="F7" s="590"/>
      <c r="G7" s="590"/>
      <c r="J7" s="591"/>
      <c r="M7" s="591"/>
    </row>
    <row r="8" spans="1:14" ht="12.75" customHeight="1">
      <c r="A8" s="4" t="s">
        <v>491</v>
      </c>
      <c r="B8" s="589"/>
      <c r="C8" s="14"/>
      <c r="D8" s="14"/>
      <c r="E8" s="14"/>
      <c r="F8" s="14"/>
      <c r="G8" s="593">
        <f>'Fund Financial Stmt Template'!E8</f>
        <v>0</v>
      </c>
      <c r="H8" s="594"/>
      <c r="I8" s="594"/>
      <c r="J8" s="594"/>
      <c r="K8" s="594"/>
      <c r="L8" s="594"/>
      <c r="M8" s="594"/>
      <c r="N8" s="595"/>
    </row>
    <row r="9" spans="1:14" ht="12.75" customHeight="1">
      <c r="A9" s="14"/>
      <c r="B9" s="596"/>
      <c r="C9" s="14"/>
      <c r="D9" s="14"/>
      <c r="E9" s="14"/>
      <c r="F9" s="14"/>
      <c r="G9" s="14"/>
      <c r="H9" s="14"/>
      <c r="I9" s="14"/>
      <c r="J9" s="14"/>
      <c r="K9" s="14"/>
      <c r="L9" s="597"/>
      <c r="M9" s="598"/>
    </row>
    <row r="10" spans="1:14" ht="12.6" customHeight="1">
      <c r="A10" s="4" t="s">
        <v>110</v>
      </c>
      <c r="B10" s="3"/>
      <c r="C10" s="3"/>
      <c r="D10" s="3"/>
      <c r="G10" s="7"/>
      <c r="J10" s="7"/>
      <c r="M10" s="7"/>
    </row>
    <row r="11" spans="1:14" s="599" customFormat="1" ht="12.6" customHeight="1">
      <c r="A11" s="5" t="str">
        <f>'Fund Financial Stmt Template'!A14</f>
        <v>For the Year Ended June 30, 2024</v>
      </c>
      <c r="B11" s="3"/>
      <c r="C11" s="3"/>
      <c r="D11" s="3"/>
      <c r="F11" s="600"/>
      <c r="G11" s="601"/>
      <c r="I11" s="600"/>
      <c r="J11" s="601"/>
      <c r="L11" s="600"/>
      <c r="M11" s="602"/>
    </row>
    <row r="12" spans="1:14" s="599" customFormat="1" ht="12.6" customHeight="1">
      <c r="A12" s="19"/>
      <c r="B12" s="20"/>
      <c r="C12" s="20"/>
      <c r="D12" s="20"/>
      <c r="E12" s="603"/>
      <c r="F12" s="604"/>
      <c r="G12" s="605"/>
      <c r="H12" s="603"/>
      <c r="I12" s="604"/>
      <c r="J12" s="605"/>
      <c r="K12" s="603"/>
      <c r="L12" s="604"/>
      <c r="M12" s="606"/>
      <c r="N12" s="603"/>
    </row>
    <row r="13" spans="1:14" s="599" customFormat="1" ht="12.6" customHeight="1">
      <c r="A13" s="5"/>
      <c r="B13" s="3"/>
      <c r="C13" s="3"/>
      <c r="D13" s="3"/>
      <c r="F13" s="600"/>
      <c r="G13" s="601"/>
      <c r="I13" s="600"/>
      <c r="J13" s="601"/>
      <c r="L13" s="600"/>
      <c r="M13" s="602"/>
    </row>
    <row r="14" spans="1:14" s="599" customFormat="1" ht="12.6" customHeight="1">
      <c r="A14" s="23"/>
      <c r="B14" s="3"/>
      <c r="C14" s="3"/>
      <c r="D14" s="3"/>
      <c r="F14" s="600"/>
      <c r="G14" s="601"/>
      <c r="I14" s="600"/>
      <c r="J14" s="601"/>
      <c r="L14" s="600"/>
      <c r="M14" s="602"/>
    </row>
    <row r="15" spans="1:14" s="599" customFormat="1" ht="12.6" customHeight="1">
      <c r="A15" s="23"/>
      <c r="B15" s="3"/>
      <c r="C15" s="3"/>
      <c r="D15" s="20"/>
      <c r="F15" s="600"/>
      <c r="G15" s="605"/>
      <c r="I15" s="600"/>
      <c r="J15" s="605"/>
      <c r="L15" s="600"/>
      <c r="M15" s="606"/>
    </row>
    <row r="16" spans="1:14" s="599" customFormat="1" ht="12.6" customHeight="1">
      <c r="C16" s="1203" t="s">
        <v>369</v>
      </c>
      <c r="D16" s="1203"/>
      <c r="E16" s="602"/>
      <c r="F16" s="607"/>
      <c r="G16" s="607"/>
      <c r="H16" s="602"/>
      <c r="I16" s="607"/>
      <c r="J16" s="607"/>
      <c r="K16" s="602"/>
      <c r="L16" s="1199"/>
      <c r="M16" s="1199"/>
    </row>
    <row r="17" spans="1:14" s="599" customFormat="1" ht="12.6" customHeight="1">
      <c r="C17" s="1200" t="s">
        <v>3097</v>
      </c>
      <c r="D17" s="1199"/>
      <c r="E17" s="602"/>
      <c r="F17" s="607"/>
      <c r="G17" s="608" t="s">
        <v>370</v>
      </c>
      <c r="H17" s="602"/>
      <c r="I17" s="607"/>
      <c r="J17" s="607" t="s">
        <v>371</v>
      </c>
      <c r="K17" s="602"/>
      <c r="L17" s="1199" t="s">
        <v>369</v>
      </c>
      <c r="M17" s="1199"/>
    </row>
    <row r="18" spans="1:14" s="599" customFormat="1" ht="12" customHeight="1">
      <c r="C18" s="1198" t="s">
        <v>404</v>
      </c>
      <c r="D18" s="1198"/>
      <c r="E18" s="602"/>
      <c r="F18" s="609"/>
      <c r="G18" s="609" t="s">
        <v>404</v>
      </c>
      <c r="H18" s="602"/>
      <c r="I18" s="609"/>
      <c r="J18" s="609" t="s">
        <v>405</v>
      </c>
      <c r="K18" s="602"/>
      <c r="L18" s="1201" t="s">
        <v>3098</v>
      </c>
      <c r="M18" s="1202"/>
      <c r="N18" s="610" t="s">
        <v>308</v>
      </c>
    </row>
    <row r="19" spans="1:14" ht="12.6" customHeight="1">
      <c r="A19" s="591" t="s">
        <v>372</v>
      </c>
    </row>
    <row r="20" spans="1:14" ht="12.6" customHeight="1">
      <c r="A20" s="591" t="s">
        <v>373</v>
      </c>
      <c r="C20" s="611" t="s">
        <v>374</v>
      </c>
      <c r="D20" s="612"/>
      <c r="E20" s="613"/>
      <c r="F20" s="613" t="s">
        <v>374</v>
      </c>
      <c r="G20" s="612"/>
      <c r="H20" s="613"/>
      <c r="I20" s="613" t="s">
        <v>374</v>
      </c>
      <c r="J20" s="612"/>
      <c r="K20" s="613"/>
      <c r="L20" s="613" t="s">
        <v>374</v>
      </c>
      <c r="M20" s="613">
        <f>SUM(D20,G20,J20)</f>
        <v>0</v>
      </c>
    </row>
    <row r="21" spans="1:14" ht="12.6" customHeight="1">
      <c r="A21" s="591" t="s">
        <v>375</v>
      </c>
      <c r="C21" s="614"/>
      <c r="D21" s="612"/>
      <c r="E21" s="613"/>
      <c r="F21" s="615"/>
      <c r="G21" s="612"/>
      <c r="H21" s="613"/>
      <c r="I21" s="615"/>
      <c r="J21" s="612"/>
      <c r="K21" s="613"/>
      <c r="L21" s="615"/>
      <c r="M21" s="615">
        <f>SUM(D21,G21,J21)</f>
        <v>0</v>
      </c>
    </row>
    <row r="22" spans="1:14" ht="12.6" customHeight="1">
      <c r="A22" s="591" t="s">
        <v>376</v>
      </c>
      <c r="C22" s="616"/>
      <c r="D22" s="617">
        <f>SUM(D20:D21)</f>
        <v>0</v>
      </c>
      <c r="E22" s="613"/>
      <c r="F22" s="617"/>
      <c r="G22" s="617">
        <f>SUM(G20:G21)</f>
        <v>0</v>
      </c>
      <c r="H22" s="613"/>
      <c r="I22" s="617"/>
      <c r="J22" s="617">
        <f>SUM(J20:J21)</f>
        <v>0</v>
      </c>
      <c r="K22" s="613"/>
      <c r="L22" s="617"/>
      <c r="M22" s="617">
        <f>IF(SUM(M20:M21)='Govwide Fin. Stmt Template'!O47,SUM(M20:M21),"ERROR")</f>
        <v>0</v>
      </c>
      <c r="N22" s="618">
        <f>(SUM(M20:M21))-'Govwide Fin. Stmt Template'!O47</f>
        <v>0</v>
      </c>
    </row>
    <row r="23" spans="1:14" ht="12.6" customHeight="1">
      <c r="C23" s="611"/>
      <c r="D23" s="619"/>
      <c r="E23" s="619"/>
      <c r="F23" s="619"/>
      <c r="G23" s="619"/>
      <c r="H23" s="619"/>
      <c r="I23" s="619"/>
      <c r="J23" s="619"/>
      <c r="K23" s="619"/>
      <c r="L23" s="619"/>
      <c r="M23" s="620"/>
    </row>
    <row r="24" spans="1:14" ht="12.6" customHeight="1">
      <c r="A24" s="591" t="s">
        <v>377</v>
      </c>
      <c r="C24" s="611"/>
      <c r="D24" s="619"/>
      <c r="E24" s="619"/>
      <c r="F24" s="619"/>
      <c r="G24" s="619"/>
      <c r="H24" s="619"/>
      <c r="I24" s="619"/>
      <c r="J24" s="619"/>
      <c r="K24" s="619"/>
      <c r="L24" s="619"/>
      <c r="M24" s="619"/>
    </row>
    <row r="25" spans="1:14" ht="12.6" customHeight="1">
      <c r="A25" s="591" t="s">
        <v>378</v>
      </c>
      <c r="C25" s="611"/>
      <c r="D25" s="612"/>
      <c r="E25" s="613"/>
      <c r="F25" s="613"/>
      <c r="G25" s="612"/>
      <c r="H25" s="613"/>
      <c r="I25" s="613"/>
      <c r="J25" s="612"/>
      <c r="K25" s="613"/>
      <c r="L25" s="613"/>
      <c r="M25" s="613">
        <f>SUM(D25,G25,J25)</f>
        <v>0</v>
      </c>
    </row>
    <row r="26" spans="1:14" ht="12.6" customHeight="1">
      <c r="A26" s="591" t="s">
        <v>379</v>
      </c>
      <c r="C26" s="611"/>
      <c r="D26" s="612"/>
      <c r="E26" s="613"/>
      <c r="F26" s="613"/>
      <c r="G26" s="612"/>
      <c r="H26" s="613"/>
      <c r="I26" s="613"/>
      <c r="J26" s="612"/>
      <c r="K26" s="613"/>
      <c r="L26" s="613"/>
      <c r="M26" s="613">
        <f>SUM(D26,G26,J26)</f>
        <v>0</v>
      </c>
    </row>
    <row r="27" spans="1:14" ht="12.6" customHeight="1">
      <c r="A27" s="591" t="s">
        <v>380</v>
      </c>
      <c r="C27" s="614"/>
      <c r="D27" s="612"/>
      <c r="E27" s="613"/>
      <c r="F27" s="615"/>
      <c r="G27" s="612"/>
      <c r="H27" s="613"/>
      <c r="I27" s="615"/>
      <c r="J27" s="612"/>
      <c r="K27" s="613"/>
      <c r="L27" s="615"/>
      <c r="M27" s="615">
        <f>SUM(D27,G27,J27)</f>
        <v>0</v>
      </c>
    </row>
    <row r="28" spans="1:14" ht="12.6" customHeight="1">
      <c r="A28" s="591" t="s">
        <v>381</v>
      </c>
      <c r="C28" s="616"/>
      <c r="D28" s="617">
        <f>SUM(D25:D27)</f>
        <v>0</v>
      </c>
      <c r="E28" s="613"/>
      <c r="F28" s="617"/>
      <c r="G28" s="617">
        <f>SUM(G25:G27)</f>
        <v>0</v>
      </c>
      <c r="H28" s="613"/>
      <c r="I28" s="617"/>
      <c r="J28" s="617">
        <f>SUM(J25:J27)</f>
        <v>0</v>
      </c>
      <c r="K28" s="613"/>
      <c r="L28" s="617"/>
      <c r="M28" s="617">
        <f>SUM(M25:M27)</f>
        <v>0</v>
      </c>
    </row>
    <row r="29" spans="1:14" ht="12.6" customHeight="1">
      <c r="A29" s="621"/>
      <c r="E29" s="8"/>
      <c r="F29" s="8"/>
      <c r="H29" s="8"/>
      <c r="I29" s="8"/>
      <c r="K29" s="8"/>
      <c r="L29" s="8"/>
    </row>
    <row r="30" spans="1:14" ht="12.6" customHeight="1">
      <c r="A30" s="622" t="s">
        <v>382</v>
      </c>
      <c r="E30" s="8"/>
      <c r="F30" s="8"/>
      <c r="H30" s="8"/>
      <c r="I30" s="8"/>
      <c r="K30" s="8"/>
      <c r="L30" s="8"/>
    </row>
    <row r="31" spans="1:14" ht="12.6" customHeight="1">
      <c r="A31" s="591" t="s">
        <v>383</v>
      </c>
      <c r="D31" s="623"/>
      <c r="E31" s="8"/>
      <c r="F31" s="8"/>
      <c r="G31" s="623"/>
      <c r="H31" s="8"/>
      <c r="I31" s="8"/>
      <c r="J31" s="623"/>
      <c r="K31" s="8"/>
      <c r="L31" s="8"/>
      <c r="M31" s="613">
        <f>SUM(D31,G31,J31)</f>
        <v>0</v>
      </c>
    </row>
    <row r="32" spans="1:14" ht="12.6" customHeight="1">
      <c r="A32" s="591" t="s">
        <v>384</v>
      </c>
      <c r="D32" s="623"/>
      <c r="E32" s="8"/>
      <c r="F32" s="8"/>
      <c r="G32" s="623"/>
      <c r="H32" s="8"/>
      <c r="I32" s="8"/>
      <c r="J32" s="623"/>
      <c r="K32" s="8"/>
      <c r="L32" s="8"/>
      <c r="M32" s="613">
        <f>SUM(D32,G32,J32)</f>
        <v>0</v>
      </c>
    </row>
    <row r="33" spans="1:14" ht="12.6" customHeight="1">
      <c r="A33" s="591" t="s">
        <v>386</v>
      </c>
      <c r="C33" s="614"/>
      <c r="D33" s="612"/>
      <c r="E33" s="613"/>
      <c r="F33" s="615"/>
      <c r="G33" s="612"/>
      <c r="H33" s="613"/>
      <c r="I33" s="615"/>
      <c r="J33" s="612"/>
      <c r="K33" s="613"/>
      <c r="L33" s="615"/>
      <c r="M33" s="615">
        <f>SUM(D33,G33,J33)</f>
        <v>0</v>
      </c>
    </row>
    <row r="34" spans="1:14" ht="12.6" customHeight="1">
      <c r="A34" s="591" t="s">
        <v>387</v>
      </c>
      <c r="C34" s="616"/>
      <c r="D34" s="617">
        <f>SUM(D31:D33)</f>
        <v>0</v>
      </c>
      <c r="E34" s="613"/>
      <c r="F34" s="617"/>
      <c r="G34" s="617">
        <f>SUM(G31:G33)</f>
        <v>0</v>
      </c>
      <c r="H34" s="613"/>
      <c r="I34" s="617"/>
      <c r="J34" s="617">
        <f>SUM(J31:J33)</f>
        <v>0</v>
      </c>
      <c r="K34" s="613"/>
      <c r="L34" s="617"/>
      <c r="M34" s="617">
        <f>SUM(M31:M33)</f>
        <v>0</v>
      </c>
    </row>
    <row r="35" spans="1:14" ht="12.6" customHeight="1">
      <c r="A35" s="591" t="s">
        <v>388</v>
      </c>
      <c r="E35" s="8"/>
      <c r="F35" s="8"/>
      <c r="H35" s="8"/>
      <c r="I35" s="8"/>
      <c r="K35" s="8"/>
      <c r="L35" s="8"/>
    </row>
    <row r="36" spans="1:14" ht="12.6" customHeight="1">
      <c r="A36" s="591" t="s">
        <v>389</v>
      </c>
      <c r="C36" s="624"/>
      <c r="D36" s="625">
        <f>D28-D34</f>
        <v>0</v>
      </c>
      <c r="E36" s="8"/>
      <c r="F36" s="625"/>
      <c r="G36" s="625">
        <f>G28-G34</f>
        <v>0</v>
      </c>
      <c r="H36" s="8"/>
      <c r="I36" s="625"/>
      <c r="J36" s="625">
        <f>J28-J34</f>
        <v>0</v>
      </c>
      <c r="K36" s="8"/>
      <c r="L36" s="625"/>
      <c r="M36" s="625">
        <f>IF((M28-M34)='Govwide Fin. Stmt Template'!O48,(M28-M34),"ERROR")</f>
        <v>0</v>
      </c>
      <c r="N36" s="618">
        <f>(SUM(M28-M34))-'Govwide Fin. Stmt Template'!O48</f>
        <v>0</v>
      </c>
    </row>
    <row r="37" spans="1:14" ht="12.6" customHeight="1">
      <c r="E37" s="8"/>
      <c r="F37" s="8"/>
      <c r="H37" s="8"/>
      <c r="I37" s="8"/>
      <c r="K37" s="8"/>
      <c r="L37" s="8"/>
      <c r="M37" s="626"/>
    </row>
    <row r="38" spans="1:14" ht="12.6" customHeight="1" thickBot="1">
      <c r="A38" s="591" t="s">
        <v>390</v>
      </c>
      <c r="C38" s="627" t="s">
        <v>374</v>
      </c>
      <c r="D38" s="628">
        <f>SUM(D22,D36)</f>
        <v>0</v>
      </c>
      <c r="E38" s="8"/>
      <c r="F38" s="628" t="s">
        <v>374</v>
      </c>
      <c r="G38" s="628">
        <f>SUM(G22,G36)</f>
        <v>0</v>
      </c>
      <c r="H38" s="8"/>
      <c r="I38" s="628" t="s">
        <v>374</v>
      </c>
      <c r="J38" s="628">
        <f>SUM(J22,J36)</f>
        <v>0</v>
      </c>
      <c r="K38" s="8"/>
      <c r="L38" s="628" t="s">
        <v>374</v>
      </c>
      <c r="M38" s="628">
        <f>SUM(M22,M36)</f>
        <v>0</v>
      </c>
    </row>
    <row r="39" spans="1:14" ht="12.6" customHeight="1" thickTop="1"/>
    <row r="40" spans="1:14" ht="12.6" customHeight="1">
      <c r="D40" s="629"/>
      <c r="G40" s="7"/>
      <c r="J40" s="7"/>
      <c r="M40" s="7"/>
    </row>
    <row r="41" spans="1:14" ht="12.6" customHeight="1">
      <c r="D41" s="629"/>
    </row>
    <row r="42" spans="1:14" ht="12.6" customHeight="1">
      <c r="D42" s="629"/>
    </row>
    <row r="43" spans="1:14" ht="12.6" customHeight="1">
      <c r="D43" s="629"/>
    </row>
    <row r="44" spans="1:14" ht="12.6" hidden="1" customHeight="1">
      <c r="D44" s="629"/>
      <c r="G44" s="8" t="s">
        <v>507</v>
      </c>
    </row>
    <row r="45" spans="1:14" ht="12.6" hidden="1" customHeight="1">
      <c r="D45" s="629"/>
      <c r="G45" s="8" t="s">
        <v>417</v>
      </c>
    </row>
    <row r="46" spans="1:14" ht="12.6" customHeight="1">
      <c r="D46" s="629"/>
    </row>
    <row r="47" spans="1:14" ht="12.6" customHeight="1">
      <c r="D47" s="629"/>
    </row>
  </sheetData>
  <customSheetViews>
    <customSheetView guid="{354F272F-821B-473B-9CC5-4001AD879606}" hiddenRows="1" hiddenColumns="1" state="hidden">
      <pageMargins left="0.27" right="0.18" top="0.99" bottom="0.64" header="0.4" footer="0.17"/>
      <printOptions gridLines="1"/>
      <pageSetup scale="80" orientation="portrait" cellComments="asDisplayed" r:id="rId1"/>
      <headerFooter alignWithMargins="0">
        <oddHeader>&amp;C&amp;"Times New Roman,Bold"&amp;9Attachment 9
Governmental Fund Financial Statement Template
&amp;A</oddHeader>
        <oddFooter>&amp;L&amp;"Times New Roman,Regular"&amp;9&amp;F \ &amp;A&amp;R&amp;"Times New Roman,Regular"&amp;9 Page &amp;P</oddFooter>
      </headerFooter>
    </customSheetView>
  </customSheetViews>
  <mergeCells count="12">
    <mergeCell ref="C18:D18"/>
    <mergeCell ref="L16:M16"/>
    <mergeCell ref="C17:D17"/>
    <mergeCell ref="L17:M17"/>
    <mergeCell ref="L18:M18"/>
    <mergeCell ref="C16:D16"/>
    <mergeCell ref="G6:N6"/>
    <mergeCell ref="G1:N1"/>
    <mergeCell ref="G3:N3"/>
    <mergeCell ref="G4:N4"/>
    <mergeCell ref="G5:N5"/>
    <mergeCell ref="G2:N2"/>
  </mergeCells>
  <phoneticPr fontId="40" type="noConversion"/>
  <dataValidations xWindow="271" yWindow="407" count="5">
    <dataValidation type="whole" allowBlank="1" showInputMessage="1" showErrorMessage="1" sqref="J29:J30 M20:M21 M38 M24:M35 K20:L38 D34:D38 E20:F38 H20:I38 D22:D24 G22:G24 D28:D30 G28:G30 G34:G38" xr:uid="{00000000-0002-0000-1200-000000000000}">
      <formula1>0</formula1>
      <formula2>9.99999999999999E+25</formula2>
    </dataValidation>
    <dataValidation type="whole" allowBlank="1" showErrorMessage="1" sqref="M22 M36" xr:uid="{00000000-0002-0000-1200-000001000000}">
      <formula1>0</formula1>
      <formula2>9.99999999999999E+25</formula2>
    </dataValidation>
    <dataValidation type="whole" allowBlank="1" showInputMessage="1" showErrorMessage="1" sqref="J28 J22:J24 J34:J38" xr:uid="{00000000-0002-0000-1200-000002000000}">
      <formula1>-999999999999999</formula1>
      <formula2>9.99999999999999E+25</formula2>
    </dataValidation>
    <dataValidation allowBlank="1" showErrorMessage="1" sqref="M23" xr:uid="{00000000-0002-0000-1200-000003000000}"/>
    <dataValidation type="whole" allowBlank="1" showErrorMessage="1" error="Enter a whole number." sqref="G31:G33 G20:G21 D20:D21 D25:D27 D31:D33 J20:J21 J25:J27 J31:J33 G25:G27" xr:uid="{00000000-0002-0000-1200-000004000000}">
      <formula1>-9999999999999</formula1>
      <formula2>9999999999999</formula2>
    </dataValidation>
  </dataValidations>
  <printOptions gridLines="1" gridLinesSet="0"/>
  <pageMargins left="0.27" right="0.18" top="0.99" bottom="0.64" header="0.4" footer="0.17"/>
  <pageSetup scale="80" orientation="portrait" cellComments="asDisplayed" r:id="rId2"/>
  <headerFooter alignWithMargins="0">
    <oddHeader>&amp;C&amp;"Times New Roman,Bold"&amp;9Attachment 9
Governmental Fund Financial Statement Template
&amp;A</oddHeader>
    <oddFooter>&amp;L&amp;"Times New Roman,Regular"&amp;9&amp;F \ &amp;A&amp;R&amp;"Times New Roman,Regular"&amp;9 Page &amp;P</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3:R58"/>
  <sheetViews>
    <sheetView zoomScale="110" zoomScaleNormal="110" workbookViewId="0">
      <selection activeCell="Q22" sqref="Q22"/>
    </sheetView>
  </sheetViews>
  <sheetFormatPr defaultColWidth="8.85546875" defaultRowHeight="12.75"/>
  <cols>
    <col min="1" max="1" width="6" style="332" customWidth="1"/>
    <col min="2" max="2" width="15.5703125" style="332" customWidth="1"/>
    <col min="3" max="3" width="28.28515625" style="332" customWidth="1"/>
    <col min="4" max="5" width="5.140625" style="332" customWidth="1"/>
    <col min="6" max="6" width="5.140625" style="332" bestFit="1" customWidth="1"/>
    <col min="7" max="7" width="13.28515625" style="332" customWidth="1"/>
    <col min="8" max="8" width="2.140625" style="332" customWidth="1"/>
    <col min="9" max="9" width="13.85546875" style="332" customWidth="1"/>
    <col min="10" max="10" width="5" style="332" customWidth="1"/>
    <col min="11" max="11" width="5.7109375" style="332" customWidth="1"/>
    <col min="12" max="12" width="17" style="332" customWidth="1"/>
    <col min="13" max="13" width="1.85546875" style="332" customWidth="1"/>
    <col min="14" max="14" width="2.140625" style="332" customWidth="1"/>
    <col min="15" max="15" width="9.42578125" style="332" customWidth="1"/>
    <col min="16" max="16" width="1.28515625" style="332" customWidth="1"/>
    <col min="17" max="17" width="8.85546875" style="332"/>
    <col min="18" max="18" width="8.85546875" style="332" hidden="1" customWidth="1"/>
    <col min="19" max="16384" width="8.85546875" style="332"/>
  </cols>
  <sheetData>
    <row r="3" spans="1:18">
      <c r="A3" s="845" t="str">
        <f>'Fund Financial Stmt Template'!A1:D1</f>
        <v>Agency Number:</v>
      </c>
      <c r="C3" s="1212" t="str">
        <f>IF('Fund Financial Stmt Template'!E1="","",'Fund Financial Stmt Template'!E1)</f>
        <v/>
      </c>
      <c r="D3" s="1213"/>
      <c r="E3" s="1213"/>
      <c r="F3" s="1213"/>
      <c r="G3" s="1214"/>
    </row>
    <row r="4" spans="1:18" ht="24.75" customHeight="1">
      <c r="A4" s="845" t="str">
        <f>'Fund Financial Stmt Template'!A2:D2</f>
        <v>Agency Name:</v>
      </c>
      <c r="C4" s="1215" t="str">
        <f>IF('Fund Financial Stmt Template'!E2="","",'Fund Financial Stmt Template'!E2)</f>
        <v/>
      </c>
      <c r="D4" s="1216"/>
      <c r="E4" s="1216"/>
      <c r="F4" s="1216"/>
      <c r="G4" s="1217"/>
    </row>
    <row r="5" spans="1:18" s="781" customFormat="1" ht="12.6" customHeight="1">
      <c r="A5" s="846"/>
      <c r="B5" s="847"/>
      <c r="C5" s="848"/>
      <c r="D5" s="848"/>
      <c r="E5" s="848"/>
      <c r="F5" s="848"/>
      <c r="G5" s="848"/>
      <c r="H5" s="849"/>
      <c r="I5" s="849"/>
      <c r="J5" s="849"/>
      <c r="K5" s="849"/>
    </row>
    <row r="6" spans="1:18" s="850" customFormat="1">
      <c r="A6" s="845"/>
    </row>
    <row r="7" spans="1:18" s="850" customFormat="1" hidden="1">
      <c r="A7" s="845"/>
    </row>
    <row r="8" spans="1:18" ht="10.5" customHeight="1">
      <c r="A8" s="1218" t="s">
        <v>718</v>
      </c>
      <c r="B8" s="1218"/>
      <c r="C8" s="1218"/>
      <c r="D8" s="1218"/>
      <c r="E8" s="1218"/>
      <c r="F8" s="1218"/>
      <c r="G8" s="1218"/>
      <c r="H8" s="1218"/>
      <c r="I8" s="1218"/>
      <c r="J8" s="1218"/>
      <c r="K8" s="1218"/>
      <c r="L8" s="1218"/>
      <c r="M8" s="1218"/>
    </row>
    <row r="9" spans="1:18" ht="23.25" customHeight="1">
      <c r="A9" s="1218" t="s">
        <v>761</v>
      </c>
      <c r="B9" s="1218"/>
      <c r="C9" s="1218"/>
      <c r="D9" s="1218"/>
      <c r="E9" s="1218"/>
      <c r="F9" s="1218"/>
      <c r="G9" s="1218"/>
      <c r="H9" s="1218"/>
      <c r="I9" s="1218"/>
      <c r="J9" s="1218"/>
      <c r="K9" s="1218"/>
      <c r="L9" s="1218"/>
      <c r="M9" s="1218"/>
      <c r="R9" s="332" t="s">
        <v>507</v>
      </c>
    </row>
    <row r="10" spans="1:18">
      <c r="A10" s="851"/>
      <c r="B10" s="191"/>
      <c r="C10" s="191"/>
      <c r="D10" s="191"/>
      <c r="E10" s="191"/>
      <c r="F10" s="191"/>
      <c r="G10" s="191"/>
      <c r="H10" s="191"/>
      <c r="I10" s="191"/>
      <c r="J10" s="191"/>
      <c r="R10" s="332" t="s">
        <v>417</v>
      </c>
    </row>
    <row r="11" spans="1:18" ht="30.75" customHeight="1">
      <c r="A11" s="391" t="s">
        <v>656</v>
      </c>
      <c r="B11" s="432" t="s">
        <v>657</v>
      </c>
      <c r="C11" s="1204" t="s">
        <v>658</v>
      </c>
      <c r="D11" s="1205"/>
      <c r="E11" s="1205"/>
      <c r="F11" s="1205"/>
      <c r="G11" s="1205"/>
      <c r="H11" s="1205"/>
      <c r="I11" s="1205"/>
      <c r="J11" s="1205"/>
      <c r="K11" s="1205"/>
      <c r="L11" s="1205"/>
      <c r="M11" s="1205"/>
      <c r="R11" s="332" t="s">
        <v>47</v>
      </c>
    </row>
    <row r="12" spans="1:18">
      <c r="A12" s="391"/>
      <c r="B12" s="386"/>
      <c r="C12" s="389"/>
      <c r="D12" s="191"/>
      <c r="E12" s="191"/>
      <c r="F12" s="191"/>
      <c r="G12" s="191"/>
      <c r="H12" s="191"/>
      <c r="I12" s="191"/>
      <c r="J12" s="191"/>
    </row>
    <row r="13" spans="1:18" hidden="1">
      <c r="A13" s="391" t="s">
        <v>659</v>
      </c>
      <c r="B13" s="649" t="s">
        <v>657</v>
      </c>
      <c r="C13" s="1204"/>
      <c r="D13" s="1205"/>
      <c r="E13" s="1205"/>
      <c r="F13" s="1205"/>
      <c r="G13" s="1205"/>
      <c r="H13" s="1205"/>
      <c r="I13" s="1205"/>
      <c r="J13" s="1205"/>
      <c r="K13" s="1205"/>
      <c r="L13" s="1205"/>
      <c r="M13" s="1205"/>
    </row>
    <row r="14" spans="1:18" hidden="1">
      <c r="A14" s="391"/>
      <c r="B14" s="386"/>
      <c r="C14" s="389"/>
      <c r="D14" s="191"/>
      <c r="E14" s="191"/>
      <c r="F14" s="191"/>
      <c r="G14" s="191"/>
      <c r="H14" s="191"/>
      <c r="I14" s="191"/>
      <c r="J14" s="191"/>
    </row>
    <row r="15" spans="1:18" hidden="1">
      <c r="A15" s="391"/>
      <c r="B15" s="386"/>
      <c r="C15" s="389"/>
      <c r="D15" s="191"/>
      <c r="E15" s="191"/>
      <c r="F15" s="191"/>
      <c r="G15" s="191"/>
      <c r="H15" s="191"/>
      <c r="I15" s="191"/>
      <c r="J15" s="191"/>
    </row>
    <row r="16" spans="1:18">
      <c r="A16" s="391" t="s">
        <v>659</v>
      </c>
      <c r="B16" s="432" t="s">
        <v>657</v>
      </c>
      <c r="C16" s="1219" t="s">
        <v>660</v>
      </c>
      <c r="D16" s="1220"/>
      <c r="E16" s="1220"/>
      <c r="F16" s="1220"/>
      <c r="G16" s="1220"/>
      <c r="H16" s="1220"/>
      <c r="I16" s="1220"/>
      <c r="J16" s="1220"/>
      <c r="K16" s="1220"/>
      <c r="L16" s="1220"/>
      <c r="M16" s="1221"/>
    </row>
    <row r="17" spans="1:15">
      <c r="A17" s="391"/>
      <c r="B17" s="386"/>
      <c r="C17" s="1222" t="s">
        <v>661</v>
      </c>
      <c r="D17" s="987"/>
      <c r="E17" s="987"/>
      <c r="F17" s="987"/>
      <c r="G17" s="987"/>
      <c r="H17" s="987"/>
      <c r="I17" s="987"/>
      <c r="J17" s="987"/>
      <c r="K17" s="987"/>
      <c r="L17" s="987"/>
      <c r="M17" s="1223"/>
    </row>
    <row r="18" spans="1:15" ht="25.5" customHeight="1">
      <c r="A18" s="391"/>
      <c r="B18" s="386"/>
      <c r="C18" s="1224" t="s">
        <v>662</v>
      </c>
      <c r="D18" s="1225"/>
      <c r="E18" s="1225"/>
      <c r="F18" s="1225"/>
      <c r="G18" s="1225"/>
      <c r="H18" s="1225"/>
      <c r="I18" s="1225"/>
      <c r="J18" s="1225"/>
      <c r="K18" s="1225"/>
      <c r="L18" s="1225"/>
      <c r="M18" s="1226"/>
    </row>
    <row r="19" spans="1:15" ht="12.6" customHeight="1">
      <c r="A19" s="252"/>
      <c r="B19" s="191"/>
      <c r="C19" s="191"/>
      <c r="D19" s="191"/>
      <c r="E19" s="191"/>
      <c r="F19" s="191"/>
      <c r="G19" s="191"/>
      <c r="H19" s="191"/>
      <c r="I19" s="191"/>
      <c r="J19" s="191"/>
    </row>
    <row r="20" spans="1:15" ht="15.75" customHeight="1">
      <c r="A20" s="391" t="s">
        <v>663</v>
      </c>
      <c r="B20" s="433" t="str" cm="1">
        <f t="array" ref="B20">IF(OR('Fund Financial Stmt Template'!G148:G149&lt;&gt;0,'Fund Financial Stmt Template'!M148:M149&lt;&gt;0,'Govwide Fin. Stmt Template'!K206:K207&lt;&gt;0,'Govwide Fin. Stmt Template'!M206:M207&lt;&gt;0),"Answer Required","N/A")</f>
        <v>N/A</v>
      </c>
      <c r="C20" s="1219" t="s">
        <v>2664</v>
      </c>
      <c r="D20" s="1220"/>
      <c r="E20" s="1220"/>
      <c r="F20" s="1220"/>
      <c r="G20" s="1220"/>
      <c r="H20" s="1220"/>
      <c r="I20" s="1220"/>
      <c r="J20" s="1220"/>
      <c r="K20" s="1220"/>
      <c r="L20" s="1220"/>
      <c r="M20" s="1221"/>
    </row>
    <row r="21" spans="1:15">
      <c r="A21" s="391"/>
      <c r="B21" s="386"/>
      <c r="C21" s="1227" t="s">
        <v>664</v>
      </c>
      <c r="D21" s="1228"/>
      <c r="E21" s="1228"/>
      <c r="F21" s="1228"/>
      <c r="G21" s="1228"/>
      <c r="H21" s="1228"/>
      <c r="I21" s="1228"/>
      <c r="J21" s="1228"/>
      <c r="K21" s="1228"/>
      <c r="L21" s="1228"/>
      <c r="M21" s="1229"/>
    </row>
    <row r="22" spans="1:15" ht="30.75" customHeight="1">
      <c r="A22" s="391"/>
      <c r="B22" s="386"/>
      <c r="C22" s="1230" t="s">
        <v>665</v>
      </c>
      <c r="D22" s="1231"/>
      <c r="E22" s="1231"/>
      <c r="F22" s="1231"/>
      <c r="G22" s="1231"/>
      <c r="H22" s="1231"/>
      <c r="I22" s="1231"/>
      <c r="J22" s="1231"/>
      <c r="K22" s="1231"/>
      <c r="L22" s="1231"/>
      <c r="M22" s="1232"/>
    </row>
    <row r="23" spans="1:15">
      <c r="A23" s="252"/>
      <c r="B23" s="191"/>
      <c r="C23" s="191"/>
      <c r="D23" s="191"/>
      <c r="E23" s="191"/>
      <c r="F23" s="191"/>
      <c r="G23" s="191"/>
      <c r="H23" s="191"/>
      <c r="I23" s="191"/>
      <c r="J23" s="191"/>
    </row>
    <row r="24" spans="1:15" ht="12.6" hidden="1" customHeight="1">
      <c r="A24" s="391" t="s">
        <v>667</v>
      </c>
      <c r="B24" s="649" t="s">
        <v>657</v>
      </c>
      <c r="C24" s="1233"/>
      <c r="D24" s="1234"/>
      <c r="E24" s="1234"/>
      <c r="F24" s="1234"/>
      <c r="G24" s="1234"/>
      <c r="H24" s="1234"/>
      <c r="I24" s="1234"/>
      <c r="J24" s="1234"/>
      <c r="K24" s="1234"/>
      <c r="L24" s="1234"/>
      <c r="M24" s="1235"/>
    </row>
    <row r="25" spans="1:15" ht="13.5" hidden="1" customHeight="1">
      <c r="A25" s="851"/>
      <c r="B25" s="191"/>
      <c r="C25" s="191"/>
      <c r="D25" s="191"/>
      <c r="E25" s="191"/>
      <c r="F25" s="191"/>
      <c r="G25" s="191"/>
      <c r="H25" s="191"/>
      <c r="I25" s="191"/>
      <c r="J25" s="191"/>
    </row>
    <row r="26" spans="1:15" ht="18.75" customHeight="1">
      <c r="A26" s="391" t="s">
        <v>666</v>
      </c>
      <c r="B26" s="432" t="s">
        <v>657</v>
      </c>
      <c r="C26" s="1236" t="s">
        <v>668</v>
      </c>
      <c r="D26" s="1237"/>
      <c r="E26" s="1237"/>
      <c r="F26" s="1237"/>
      <c r="G26" s="1237"/>
      <c r="H26" s="1237"/>
      <c r="I26" s="1237"/>
      <c r="J26" s="1237"/>
      <c r="K26" s="1237"/>
      <c r="L26" s="1237"/>
      <c r="M26" s="1238"/>
    </row>
    <row r="27" spans="1:15" ht="12.6" customHeight="1">
      <c r="A27" s="851"/>
      <c r="B27" s="191"/>
      <c r="C27" s="191"/>
      <c r="D27" s="191"/>
      <c r="E27" s="191"/>
      <c r="F27" s="191"/>
      <c r="G27" s="191"/>
      <c r="H27" s="191"/>
      <c r="I27" s="191"/>
      <c r="J27" s="191"/>
    </row>
    <row r="28" spans="1:15" ht="27.75" customHeight="1">
      <c r="A28" s="852" t="s">
        <v>667</v>
      </c>
      <c r="B28" s="432" t="s">
        <v>657</v>
      </c>
      <c r="C28" s="1239" t="s">
        <v>755</v>
      </c>
      <c r="D28" s="1240"/>
      <c r="E28" s="1240"/>
      <c r="F28" s="1240"/>
      <c r="G28" s="1240"/>
      <c r="H28" s="1240"/>
      <c r="I28" s="1240"/>
      <c r="J28" s="1240"/>
      <c r="K28" s="1240"/>
      <c r="L28" s="1240"/>
      <c r="M28" s="1241"/>
    </row>
    <row r="29" spans="1:15" ht="43.5" customHeight="1">
      <c r="A29" s="853"/>
      <c r="C29" s="1209" t="s">
        <v>762</v>
      </c>
      <c r="D29" s="1210"/>
      <c r="E29" s="1210"/>
      <c r="F29" s="1210"/>
      <c r="G29" s="1210"/>
      <c r="H29" s="1210"/>
      <c r="I29" s="1210"/>
      <c r="J29" s="1210"/>
      <c r="K29" s="1210"/>
      <c r="L29" s="1210"/>
      <c r="M29" s="1211"/>
    </row>
    <row r="30" spans="1:15" ht="12.6" customHeight="1">
      <c r="A30" s="853"/>
      <c r="B30" s="191"/>
      <c r="C30" s="191"/>
      <c r="D30" s="191"/>
      <c r="E30" s="191"/>
      <c r="F30" s="191"/>
      <c r="G30" s="191"/>
      <c r="H30" s="191"/>
      <c r="I30" s="191"/>
      <c r="J30" s="191"/>
    </row>
    <row r="31" spans="1:15" ht="13.5" customHeight="1">
      <c r="H31" s="191"/>
      <c r="I31" s="191"/>
      <c r="J31" s="191"/>
      <c r="K31" s="1208"/>
      <c r="L31" s="1208"/>
      <c r="M31" s="1208"/>
      <c r="N31" s="1208"/>
      <c r="O31" s="1208"/>
    </row>
    <row r="32" spans="1:15">
      <c r="B32" s="854" t="s">
        <v>313</v>
      </c>
      <c r="H32" s="191"/>
      <c r="I32" s="279" t="s">
        <v>314</v>
      </c>
      <c r="J32" s="279"/>
      <c r="K32" s="1208"/>
      <c r="L32" s="1208"/>
      <c r="M32" s="1208"/>
      <c r="N32" s="1208"/>
      <c r="O32" s="1208"/>
    </row>
    <row r="33" spans="1:15">
      <c r="H33" s="191"/>
      <c r="I33" s="191"/>
      <c r="J33" s="191"/>
    </row>
    <row r="34" spans="1:15">
      <c r="A34" s="846"/>
      <c r="B34" s="855" t="s">
        <v>315</v>
      </c>
      <c r="C34" s="1206"/>
      <c r="D34" s="1207"/>
      <c r="E34" s="1207"/>
      <c r="F34" s="1207"/>
      <c r="G34" s="1207"/>
      <c r="H34" s="191"/>
      <c r="I34" s="434"/>
      <c r="J34" s="856"/>
      <c r="L34" s="1208" t="s">
        <v>751</v>
      </c>
      <c r="M34" s="1208"/>
      <c r="N34" s="1208"/>
      <c r="O34" s="1208"/>
    </row>
    <row r="35" spans="1:15">
      <c r="A35" s="846"/>
      <c r="B35" s="855" t="s">
        <v>316</v>
      </c>
      <c r="C35" s="1206"/>
      <c r="D35" s="1207"/>
      <c r="E35" s="1207"/>
      <c r="F35" s="1207"/>
      <c r="G35" s="1207"/>
      <c r="H35" s="191"/>
      <c r="I35" s="191"/>
      <c r="J35" s="191"/>
      <c r="L35" s="1208"/>
      <c r="M35" s="1208"/>
      <c r="N35" s="1208"/>
      <c r="O35" s="1208"/>
    </row>
    <row r="36" spans="1:15" s="781" customFormat="1">
      <c r="B36" s="857"/>
      <c r="H36" s="191"/>
      <c r="I36" s="191"/>
      <c r="J36" s="191"/>
      <c r="L36" s="849"/>
    </row>
    <row r="37" spans="1:15" s="781" customFormat="1">
      <c r="A37" s="846"/>
      <c r="B37" s="855" t="s">
        <v>315</v>
      </c>
      <c r="C37" s="1206"/>
      <c r="D37" s="1207"/>
      <c r="E37" s="1207"/>
      <c r="F37" s="1207"/>
      <c r="G37" s="1207"/>
      <c r="H37" s="191"/>
      <c r="I37" s="434"/>
      <c r="J37" s="856"/>
      <c r="K37" s="332"/>
      <c r="L37" s="1208" t="s">
        <v>751</v>
      </c>
      <c r="M37" s="1208"/>
      <c r="N37" s="1208"/>
      <c r="O37" s="1208"/>
    </row>
    <row r="38" spans="1:15" s="781" customFormat="1">
      <c r="A38" s="846"/>
      <c r="B38" s="855" t="s">
        <v>316</v>
      </c>
      <c r="C38" s="1206"/>
      <c r="D38" s="1207"/>
      <c r="E38" s="1207"/>
      <c r="F38" s="1207"/>
      <c r="G38" s="1207"/>
      <c r="H38" s="191"/>
      <c r="I38" s="191"/>
      <c r="J38" s="191"/>
      <c r="K38" s="332"/>
      <c r="L38" s="1208"/>
      <c r="M38" s="1208"/>
      <c r="N38" s="1208"/>
      <c r="O38" s="1208"/>
    </row>
    <row r="39" spans="1:15" s="781" customFormat="1">
      <c r="B39" s="857"/>
      <c r="H39" s="191"/>
      <c r="I39" s="191"/>
      <c r="J39" s="191"/>
      <c r="L39" s="849"/>
    </row>
    <row r="40" spans="1:15" s="781" customFormat="1">
      <c r="A40" s="846"/>
      <c r="B40" s="855" t="s">
        <v>315</v>
      </c>
      <c r="C40" s="1206"/>
      <c r="D40" s="1207"/>
      <c r="E40" s="1207"/>
      <c r="F40" s="1207"/>
      <c r="G40" s="1207"/>
      <c r="H40" s="191"/>
      <c r="I40" s="434"/>
      <c r="J40" s="856"/>
      <c r="K40" s="332"/>
      <c r="L40" s="1208" t="s">
        <v>751</v>
      </c>
      <c r="M40" s="1208"/>
      <c r="N40" s="1208"/>
      <c r="O40" s="1208"/>
    </row>
    <row r="41" spans="1:15" s="781" customFormat="1">
      <c r="A41" s="846"/>
      <c r="B41" s="855" t="s">
        <v>316</v>
      </c>
      <c r="C41" s="1206"/>
      <c r="D41" s="1207"/>
      <c r="E41" s="1207"/>
      <c r="F41" s="1207"/>
      <c r="G41" s="1207"/>
      <c r="H41" s="191"/>
      <c r="I41" s="191"/>
      <c r="J41" s="191"/>
      <c r="K41" s="332"/>
      <c r="L41" s="1208"/>
      <c r="M41" s="1208"/>
      <c r="N41" s="1208"/>
      <c r="O41" s="1208"/>
    </row>
    <row r="42" spans="1:15" s="781" customFormat="1">
      <c r="A42" s="332"/>
      <c r="B42" s="332"/>
      <c r="C42" s="332"/>
      <c r="D42" s="332"/>
      <c r="E42" s="332"/>
      <c r="F42" s="332"/>
      <c r="G42" s="332"/>
      <c r="H42" s="191"/>
      <c r="I42" s="191"/>
      <c r="J42" s="191"/>
      <c r="L42" s="849"/>
    </row>
    <row r="43" spans="1:15" s="781" customFormat="1">
      <c r="A43" s="846"/>
      <c r="B43" s="855" t="s">
        <v>315</v>
      </c>
      <c r="C43" s="1206"/>
      <c r="D43" s="1207"/>
      <c r="E43" s="1207"/>
      <c r="F43" s="1207"/>
      <c r="G43" s="1207"/>
      <c r="H43" s="191"/>
      <c r="I43" s="434"/>
      <c r="J43" s="856"/>
      <c r="K43" s="332"/>
      <c r="L43" s="1208" t="s">
        <v>751</v>
      </c>
      <c r="M43" s="1208"/>
      <c r="N43" s="1208"/>
      <c r="O43" s="1208"/>
    </row>
    <row r="44" spans="1:15">
      <c r="A44" s="846"/>
      <c r="B44" s="855" t="s">
        <v>316</v>
      </c>
      <c r="C44" s="1206"/>
      <c r="D44" s="1207"/>
      <c r="E44" s="1207"/>
      <c r="F44" s="1207"/>
      <c r="G44" s="1207"/>
      <c r="H44" s="191"/>
      <c r="I44" s="191"/>
      <c r="J44" s="191"/>
      <c r="L44" s="1208"/>
      <c r="M44" s="1208"/>
      <c r="N44" s="1208"/>
      <c r="O44" s="1208"/>
    </row>
    <row r="45" spans="1:15" s="781" customFormat="1">
      <c r="A45" s="332"/>
      <c r="B45" s="332"/>
      <c r="C45" s="332"/>
      <c r="D45" s="332"/>
      <c r="E45" s="332"/>
      <c r="F45" s="332"/>
      <c r="G45" s="332"/>
      <c r="H45" s="191"/>
      <c r="I45" s="191"/>
      <c r="J45" s="191"/>
      <c r="L45" s="849"/>
    </row>
    <row r="46" spans="1:15" s="781" customFormat="1">
      <c r="A46" s="332"/>
      <c r="B46" s="854" t="s">
        <v>317</v>
      </c>
      <c r="C46" s="332"/>
      <c r="D46" s="332"/>
      <c r="E46" s="332"/>
      <c r="F46" s="332"/>
      <c r="G46" s="332"/>
      <c r="H46" s="191"/>
      <c r="I46" s="279" t="s">
        <v>314</v>
      </c>
      <c r="J46" s="279"/>
      <c r="L46" s="849"/>
    </row>
    <row r="47" spans="1:15">
      <c r="H47" s="191"/>
      <c r="I47" s="191"/>
      <c r="J47" s="191"/>
    </row>
    <row r="48" spans="1:15">
      <c r="A48" s="846"/>
      <c r="B48" s="855" t="s">
        <v>315</v>
      </c>
      <c r="C48" s="1206"/>
      <c r="D48" s="1207"/>
      <c r="E48" s="1207"/>
      <c r="F48" s="1207"/>
      <c r="G48" s="1207"/>
      <c r="H48" s="191"/>
      <c r="I48" s="434"/>
      <c r="J48" s="856"/>
      <c r="L48" s="1208" t="s">
        <v>669</v>
      </c>
      <c r="M48" s="1208"/>
      <c r="N48" s="1208"/>
      <c r="O48" s="1208"/>
    </row>
    <row r="49" spans="1:15">
      <c r="A49" s="846"/>
      <c r="B49" s="855" t="s">
        <v>316</v>
      </c>
      <c r="C49" s="1206"/>
      <c r="D49" s="1207"/>
      <c r="E49" s="1207"/>
      <c r="F49" s="1207"/>
      <c r="G49" s="1207"/>
      <c r="H49" s="191"/>
      <c r="I49" s="191"/>
      <c r="J49" s="191"/>
      <c r="L49" s="1208"/>
      <c r="M49" s="1208"/>
      <c r="N49" s="1208"/>
      <c r="O49" s="1208"/>
    </row>
    <row r="50" spans="1:15" s="781" customFormat="1">
      <c r="B50" s="857"/>
      <c r="H50" s="191"/>
      <c r="I50" s="191"/>
      <c r="J50" s="191"/>
      <c r="L50" s="849"/>
    </row>
    <row r="51" spans="1:15" s="781" customFormat="1">
      <c r="A51" s="846"/>
      <c r="B51" s="855" t="s">
        <v>315</v>
      </c>
      <c r="C51" s="1206"/>
      <c r="D51" s="1207"/>
      <c r="E51" s="1207"/>
      <c r="F51" s="1207"/>
      <c r="G51" s="1207"/>
      <c r="H51" s="191"/>
      <c r="I51" s="434"/>
      <c r="J51" s="856"/>
      <c r="K51" s="332"/>
      <c r="L51" s="1208" t="s">
        <v>669</v>
      </c>
      <c r="M51" s="1208"/>
      <c r="N51" s="1208"/>
      <c r="O51" s="1208"/>
    </row>
    <row r="52" spans="1:15" s="781" customFormat="1">
      <c r="A52" s="846"/>
      <c r="B52" s="855" t="s">
        <v>316</v>
      </c>
      <c r="C52" s="1206"/>
      <c r="D52" s="1207"/>
      <c r="E52" s="1207"/>
      <c r="F52" s="1207"/>
      <c r="G52" s="1207"/>
      <c r="H52" s="191"/>
      <c r="I52" s="191"/>
      <c r="J52" s="191"/>
      <c r="K52" s="332"/>
      <c r="L52" s="1208"/>
      <c r="M52" s="1208"/>
      <c r="N52" s="1208"/>
      <c r="O52" s="1208"/>
    </row>
    <row r="53" spans="1:15" s="781" customFormat="1">
      <c r="B53" s="857"/>
      <c r="H53" s="191"/>
      <c r="I53" s="191"/>
      <c r="J53" s="191"/>
      <c r="L53" s="849"/>
    </row>
    <row r="54" spans="1:15" s="781" customFormat="1">
      <c r="A54" s="846"/>
      <c r="B54" s="855" t="s">
        <v>315</v>
      </c>
      <c r="C54" s="1206"/>
      <c r="D54" s="1207"/>
      <c r="E54" s="1207"/>
      <c r="F54" s="1207"/>
      <c r="G54" s="1207"/>
      <c r="H54" s="191"/>
      <c r="I54" s="434"/>
      <c r="J54" s="856"/>
      <c r="K54" s="332"/>
      <c r="L54" s="1208" t="s">
        <v>669</v>
      </c>
      <c r="M54" s="1208"/>
      <c r="N54" s="1208"/>
      <c r="O54" s="1208"/>
    </row>
    <row r="55" spans="1:15" s="781" customFormat="1">
      <c r="A55" s="846"/>
      <c r="B55" s="855" t="s">
        <v>316</v>
      </c>
      <c r="C55" s="1206"/>
      <c r="D55" s="1207"/>
      <c r="E55" s="1207"/>
      <c r="F55" s="1207"/>
      <c r="G55" s="1207"/>
      <c r="H55" s="191"/>
      <c r="I55" s="191"/>
      <c r="J55" s="191"/>
      <c r="K55" s="332"/>
      <c r="L55" s="1208"/>
      <c r="M55" s="1208"/>
      <c r="N55" s="1208"/>
      <c r="O55" s="1208"/>
    </row>
    <row r="56" spans="1:15" s="781" customFormat="1">
      <c r="A56" s="332"/>
      <c r="B56" s="332"/>
      <c r="C56" s="332"/>
      <c r="D56" s="332"/>
      <c r="E56" s="332"/>
      <c r="F56" s="332"/>
      <c r="G56" s="332"/>
      <c r="H56" s="191"/>
      <c r="I56" s="191"/>
      <c r="J56" s="191"/>
      <c r="L56" s="849"/>
    </row>
    <row r="57" spans="1:15" s="781" customFormat="1">
      <c r="A57" s="846"/>
      <c r="B57" s="855" t="s">
        <v>315</v>
      </c>
      <c r="C57" s="1206"/>
      <c r="D57" s="1207"/>
      <c r="E57" s="1207"/>
      <c r="F57" s="1207"/>
      <c r="G57" s="1207"/>
      <c r="H57" s="191"/>
      <c r="I57" s="434"/>
      <c r="J57" s="856"/>
      <c r="K57" s="332"/>
      <c r="L57" s="1208" t="s">
        <v>669</v>
      </c>
      <c r="M57" s="1208"/>
      <c r="N57" s="1208"/>
      <c r="O57" s="1208"/>
    </row>
    <row r="58" spans="1:15">
      <c r="A58" s="846"/>
      <c r="B58" s="855" t="s">
        <v>316</v>
      </c>
      <c r="C58" s="1206"/>
      <c r="D58" s="1207"/>
      <c r="E58" s="1207"/>
      <c r="F58" s="1207"/>
      <c r="G58" s="1207"/>
      <c r="H58" s="191"/>
      <c r="I58" s="191"/>
      <c r="J58" s="191"/>
      <c r="L58" s="1208"/>
      <c r="M58" s="1208"/>
      <c r="N58" s="1208"/>
      <c r="O58" s="1208"/>
    </row>
  </sheetData>
  <sheetProtection algorithmName="SHA-512" hashValue="hr6QSBrt4XivEbL9sgOgoq1ehaWkk9QpjH63XR+htVruQ+WWPg6K1mJk+lDUm9rOug4MTcIi1GmBqm3mv2ZhSQ==" saltValue="MH+JYuVr7Mxs/6LYBS9QRQ==" spinCount="100000" sheet="1" objects="1" scenarios="1"/>
  <customSheetViews>
    <customSheetView guid="{354F272F-821B-473B-9CC5-4001AD879606}" fitToPage="1" hiddenRows="1" hiddenColumns="1">
      <selection activeCell="L34" sqref="L34:O35"/>
      <pageMargins left="0.76" right="0.25" top="0.75" bottom="0.43" header="0.25" footer="0.19"/>
      <pageSetup scale="66" orientation="portrait" cellComments="asDisplayed" r:id="rId1"/>
      <headerFooter alignWithMargins="0">
        <oddHeader xml:space="preserve">&amp;C&amp;"Times New Roman,Bold"Attachment 9
Governmental Fund Financial Statement Template
&amp;A
</oddHeader>
        <oddFooter xml:space="preserve">&amp;L&amp;"Times New Roman,Regular"&amp;F \ &amp;A&amp;R&amp;"Times New Roman,Regular" Page &amp;P </oddFooter>
      </headerFooter>
    </customSheetView>
  </customSheetViews>
  <mergeCells count="41">
    <mergeCell ref="C11:M11"/>
    <mergeCell ref="C34:G34"/>
    <mergeCell ref="C37:G37"/>
    <mergeCell ref="C3:G3"/>
    <mergeCell ref="C4:G4"/>
    <mergeCell ref="A8:M8"/>
    <mergeCell ref="A9:M9"/>
    <mergeCell ref="C16:M16"/>
    <mergeCell ref="C17:M17"/>
    <mergeCell ref="C18:M18"/>
    <mergeCell ref="C20:M20"/>
    <mergeCell ref="C21:M21"/>
    <mergeCell ref="C22:M22"/>
    <mergeCell ref="C24:M24"/>
    <mergeCell ref="C26:M26"/>
    <mergeCell ref="C28:M28"/>
    <mergeCell ref="C43:G43"/>
    <mergeCell ref="L43:O44"/>
    <mergeCell ref="C44:G44"/>
    <mergeCell ref="C29:M29"/>
    <mergeCell ref="K31:O32"/>
    <mergeCell ref="L34:O35"/>
    <mergeCell ref="C35:G35"/>
    <mergeCell ref="L37:O38"/>
    <mergeCell ref="C38:G38"/>
    <mergeCell ref="C13:M13"/>
    <mergeCell ref="C48:G48"/>
    <mergeCell ref="L48:O49"/>
    <mergeCell ref="C49:G49"/>
    <mergeCell ref="C57:G57"/>
    <mergeCell ref="L57:O58"/>
    <mergeCell ref="C58:G58"/>
    <mergeCell ref="C51:G51"/>
    <mergeCell ref="L51:O52"/>
    <mergeCell ref="C52:G52"/>
    <mergeCell ref="C54:G54"/>
    <mergeCell ref="L54:O55"/>
    <mergeCell ref="C55:G55"/>
    <mergeCell ref="C40:G40"/>
    <mergeCell ref="L40:O41"/>
    <mergeCell ref="C41:G41"/>
  </mergeCells>
  <phoneticPr fontId="12" type="noConversion"/>
  <conditionalFormatting sqref="B11 B16 B24">
    <cfRule type="cellIs" dxfId="11" priority="20" operator="equal">
      <formula>"Error"</formula>
    </cfRule>
  </conditionalFormatting>
  <conditionalFormatting sqref="B11">
    <cfRule type="cellIs" dxfId="10" priority="17" operator="equal">
      <formula>"Answer Required"</formula>
    </cfRule>
  </conditionalFormatting>
  <conditionalFormatting sqref="B13">
    <cfRule type="cellIs" dxfId="9" priority="3" operator="equal">
      <formula>"Answer Required"</formula>
    </cfRule>
    <cfRule type="cellIs" dxfId="8" priority="4" operator="equal">
      <formula>"Error"</formula>
    </cfRule>
  </conditionalFormatting>
  <conditionalFormatting sqref="B16">
    <cfRule type="cellIs" dxfId="7" priority="11" operator="equal">
      <formula>"Answer Required"</formula>
    </cfRule>
  </conditionalFormatting>
  <conditionalFormatting sqref="B20">
    <cfRule type="cellIs" dxfId="6" priority="1" operator="equal">
      <formula>"Answer Required"</formula>
    </cfRule>
    <cfRule type="cellIs" dxfId="5" priority="2" operator="equal">
      <formula>"Error"</formula>
    </cfRule>
  </conditionalFormatting>
  <conditionalFormatting sqref="B24">
    <cfRule type="cellIs" dxfId="4" priority="9" operator="equal">
      <formula>"Answer Required"</formula>
    </cfRule>
  </conditionalFormatting>
  <conditionalFormatting sqref="B26">
    <cfRule type="cellIs" dxfId="3" priority="7" operator="equal">
      <formula>"Answer Required"</formula>
    </cfRule>
    <cfRule type="cellIs" dxfId="2" priority="8" operator="equal">
      <formula>"Error"</formula>
    </cfRule>
  </conditionalFormatting>
  <conditionalFormatting sqref="B28">
    <cfRule type="cellIs" dxfId="1" priority="5" operator="equal">
      <formula>"Answer Required"</formula>
    </cfRule>
    <cfRule type="cellIs" dxfId="0" priority="6" operator="equal">
      <formula>"Error"</formula>
    </cfRule>
  </conditionalFormatting>
  <dataValidations count="2">
    <dataValidation type="list" allowBlank="1" showInputMessage="1" showErrorMessage="1" error="Use the drop-down list to enter yes or no" sqref="B11 B16 B13 B24 B26 B28" xr:uid="{00000000-0002-0000-1300-000000000000}">
      <formula1>$R$9:$R$10</formula1>
    </dataValidation>
    <dataValidation type="list" allowBlank="1" showInputMessage="1" showErrorMessage="1" error="Use the drop-down list to enter yes, no, or n/a." sqref="B20" xr:uid="{00000000-0002-0000-1300-000001000000}">
      <formula1>$R$9:$R$11</formula1>
    </dataValidation>
  </dataValidations>
  <pageMargins left="0.76" right="0.25" top="0.75" bottom="0.43" header="0.25" footer="0.19"/>
  <pageSetup scale="66" orientation="portrait" cellComments="asDisplayed" r:id="rId2"/>
  <headerFooter alignWithMargins="0">
    <oddHeader xml:space="preserve">&amp;C&amp;"Times New Roman,Bold"Attachment 9
Governmental Fund Financial Statement Template
&amp;A
</oddHeader>
    <oddFooter xml:space="preserve">&amp;L&amp;"Times New Roman,Regular"&amp;F \ &amp;A&amp;R&amp;"Times New Roman,Regular" Page &amp;P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0178" r:id="rId5" name="Check Box 2">
              <controlPr defaultSize="0" autoFill="0" autoLine="0" autoPict="0">
                <anchor moveWithCells="1" sizeWithCells="1">
                  <from>
                    <xdr:col>9</xdr:col>
                    <xdr:colOff>200025</xdr:colOff>
                    <xdr:row>32</xdr:row>
                    <xdr:rowOff>152400</xdr:rowOff>
                  </from>
                  <to>
                    <xdr:col>10</xdr:col>
                    <xdr:colOff>180975</xdr:colOff>
                    <xdr:row>34</xdr:row>
                    <xdr:rowOff>85725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sizeWithCells="1">
                  <from>
                    <xdr:col>9</xdr:col>
                    <xdr:colOff>209550</xdr:colOff>
                    <xdr:row>36</xdr:row>
                    <xdr:rowOff>9525</xdr:rowOff>
                  </from>
                  <to>
                    <xdr:col>10</xdr:col>
                    <xdr:colOff>180975</xdr:colOff>
                    <xdr:row>37</xdr:row>
                    <xdr:rowOff>104775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sizeWithCells="1">
                  <from>
                    <xdr:col>9</xdr:col>
                    <xdr:colOff>247650</xdr:colOff>
                    <xdr:row>55</xdr:row>
                    <xdr:rowOff>142875</xdr:rowOff>
                  </from>
                  <to>
                    <xdr:col>10</xdr:col>
                    <xdr:colOff>219075</xdr:colOff>
                    <xdr:row>57</xdr:row>
                    <xdr:rowOff>76200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sizeWithCells="1">
                  <from>
                    <xdr:col>9</xdr:col>
                    <xdr:colOff>200025</xdr:colOff>
                    <xdr:row>39</xdr:row>
                    <xdr:rowOff>0</xdr:rowOff>
                  </from>
                  <to>
                    <xdr:col>10</xdr:col>
                    <xdr:colOff>171450</xdr:colOff>
                    <xdr:row>40</xdr:row>
                    <xdr:rowOff>95250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sizeWithCells="1">
                  <from>
                    <xdr:col>9</xdr:col>
                    <xdr:colOff>209550</xdr:colOff>
                    <xdr:row>41</xdr:row>
                    <xdr:rowOff>142875</xdr:rowOff>
                  </from>
                  <to>
                    <xdr:col>10</xdr:col>
                    <xdr:colOff>180975</xdr:colOff>
                    <xdr:row>43</xdr:row>
                    <xdr:rowOff>76200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sizeWithCells="1">
                  <from>
                    <xdr:col>9</xdr:col>
                    <xdr:colOff>228600</xdr:colOff>
                    <xdr:row>49</xdr:row>
                    <xdr:rowOff>133350</xdr:rowOff>
                  </from>
                  <to>
                    <xdr:col>10</xdr:col>
                    <xdr:colOff>200025</xdr:colOff>
                    <xdr:row>51</xdr:row>
                    <xdr:rowOff>66675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sizeWithCells="1">
                  <from>
                    <xdr:col>9</xdr:col>
                    <xdr:colOff>238125</xdr:colOff>
                    <xdr:row>52</xdr:row>
                    <xdr:rowOff>133350</xdr:rowOff>
                  </from>
                  <to>
                    <xdr:col>10</xdr:col>
                    <xdr:colOff>209550</xdr:colOff>
                    <xdr:row>54</xdr:row>
                    <xdr:rowOff>66675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sizeWithCells="1">
                  <from>
                    <xdr:col>9</xdr:col>
                    <xdr:colOff>228600</xdr:colOff>
                    <xdr:row>46</xdr:row>
                    <xdr:rowOff>133350</xdr:rowOff>
                  </from>
                  <to>
                    <xdr:col>10</xdr:col>
                    <xdr:colOff>200025</xdr:colOff>
                    <xdr:row>48</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8"/>
  <sheetViews>
    <sheetView zoomScale="110" zoomScaleNormal="110" workbookViewId="0">
      <selection activeCell="C3" sqref="C3:F3"/>
    </sheetView>
  </sheetViews>
  <sheetFormatPr defaultColWidth="9.140625" defaultRowHeight="12.75"/>
  <cols>
    <col min="1" max="1" width="11.140625" style="191" customWidth="1"/>
    <col min="2" max="2" width="29.85546875" style="191" customWidth="1"/>
    <col min="3" max="3" width="9.28515625" style="191" customWidth="1"/>
    <col min="4" max="4" width="9.85546875" style="191" customWidth="1"/>
    <col min="5" max="6" width="24.7109375" style="191" customWidth="1"/>
    <col min="7" max="7" width="12.85546875" style="191" customWidth="1"/>
    <col min="8" max="9" width="9.140625" style="191"/>
    <col min="10" max="10" width="13.85546875" style="191" bestFit="1" customWidth="1"/>
    <col min="11" max="16384" width="9.140625" style="191"/>
  </cols>
  <sheetData>
    <row r="1" spans="1:8">
      <c r="A1" s="913" t="s">
        <v>399</v>
      </c>
      <c r="B1" s="960"/>
      <c r="C1" s="933" t="str">
        <f>IF('Fund Financial Stmt Template'!E1="","",'Fund Financial Stmt Template'!E1)</f>
        <v/>
      </c>
      <c r="D1" s="1165"/>
      <c r="E1" s="1165"/>
      <c r="F1" s="1166"/>
    </row>
    <row r="2" spans="1:8" ht="28.5" customHeight="1">
      <c r="A2" s="911" t="s">
        <v>362</v>
      </c>
      <c r="B2" s="960"/>
      <c r="C2" s="908" t="str">
        <f>'Fund Financial Stmt Template'!E2</f>
        <v/>
      </c>
      <c r="D2" s="1056"/>
      <c r="E2" s="1056"/>
      <c r="F2" s="1057"/>
    </row>
    <row r="3" spans="1:8">
      <c r="A3" s="911" t="s">
        <v>419</v>
      </c>
      <c r="B3" s="960"/>
      <c r="C3" s="893" t="str">
        <f>IF('Fund Financial Stmt Template'!E3="","",'Fund Financial Stmt Template'!E3)</f>
        <v/>
      </c>
      <c r="D3" s="1163"/>
      <c r="E3" s="1163"/>
      <c r="F3" s="1164"/>
    </row>
    <row r="4" spans="1:8">
      <c r="A4" s="911" t="s">
        <v>420</v>
      </c>
      <c r="B4" s="960"/>
      <c r="C4" s="905" t="str">
        <f>IF('Fund Financial Stmt Template'!E4="","",'Fund Financial Stmt Template'!E4)</f>
        <v/>
      </c>
      <c r="D4" s="1063"/>
      <c r="E4" s="1063"/>
      <c r="F4" s="1064"/>
    </row>
    <row r="5" spans="1:8">
      <c r="A5" s="911" t="s">
        <v>421</v>
      </c>
      <c r="B5" s="960"/>
      <c r="C5" s="1167" t="str">
        <f>IF('Fund Financial Stmt Template'!E5="","",'Fund Financial Stmt Template'!E5)</f>
        <v/>
      </c>
      <c r="D5" s="1049"/>
      <c r="E5" s="1049"/>
      <c r="F5" s="1050"/>
    </row>
    <row r="6" spans="1:8">
      <c r="A6" s="911" t="s">
        <v>418</v>
      </c>
      <c r="B6" s="960"/>
      <c r="C6" s="920" t="str">
        <f>IF('Fund Financial Stmt Template'!E6="","",'Fund Financial Stmt Template'!E6)</f>
        <v/>
      </c>
      <c r="D6" s="1052"/>
      <c r="E6" s="1052"/>
      <c r="F6" s="1053"/>
    </row>
    <row r="8" spans="1:8">
      <c r="A8" s="911" t="s">
        <v>491</v>
      </c>
      <c r="B8" s="960"/>
      <c r="C8" s="896" t="str">
        <f>IF('Fund Financial Stmt Template'!E8="","",'Fund Financial Stmt Template'!E8)</f>
        <v/>
      </c>
      <c r="D8" s="976"/>
      <c r="E8" s="976"/>
      <c r="F8" s="1044"/>
    </row>
    <row r="11" spans="1:8" ht="26.25" customHeight="1">
      <c r="A11" s="883" t="s">
        <v>23</v>
      </c>
      <c r="B11" s="883" t="s">
        <v>24</v>
      </c>
      <c r="C11" s="883" t="s">
        <v>25</v>
      </c>
      <c r="D11" s="883" t="s">
        <v>26</v>
      </c>
      <c r="E11" s="883" t="s">
        <v>27</v>
      </c>
      <c r="F11" s="883" t="s">
        <v>28</v>
      </c>
      <c r="H11" s="280"/>
    </row>
    <row r="12" spans="1:8">
      <c r="A12" s="435"/>
      <c r="B12" s="121"/>
      <c r="C12" s="104"/>
      <c r="D12" s="104"/>
      <c r="E12" s="436"/>
      <c r="F12" s="436"/>
    </row>
    <row r="13" spans="1:8">
      <c r="A13" s="435"/>
      <c r="B13" s="121"/>
      <c r="C13" s="104"/>
      <c r="D13" s="104"/>
      <c r="E13" s="436"/>
      <c r="F13" s="436"/>
    </row>
    <row r="14" spans="1:8">
      <c r="A14" s="435"/>
      <c r="B14" s="121"/>
      <c r="C14" s="104"/>
      <c r="D14" s="104"/>
      <c r="E14" s="436"/>
      <c r="F14" s="436"/>
    </row>
    <row r="15" spans="1:8">
      <c r="A15" s="435"/>
      <c r="B15" s="121"/>
      <c r="C15" s="104"/>
      <c r="D15" s="104"/>
      <c r="E15" s="436"/>
      <c r="F15" s="436"/>
    </row>
    <row r="16" spans="1:8">
      <c r="A16" s="435"/>
      <c r="B16" s="121"/>
      <c r="C16" s="104"/>
      <c r="D16" s="104"/>
      <c r="E16" s="436"/>
      <c r="F16" s="436"/>
    </row>
    <row r="17" spans="1:6">
      <c r="A17" s="435"/>
      <c r="B17" s="121"/>
      <c r="C17" s="104"/>
      <c r="D17" s="104"/>
      <c r="E17" s="436"/>
      <c r="F17" s="436"/>
    </row>
    <row r="18" spans="1:6">
      <c r="A18" s="435"/>
      <c r="B18" s="121"/>
      <c r="C18" s="104"/>
      <c r="D18" s="104"/>
      <c r="E18" s="436"/>
      <c r="F18" s="436"/>
    </row>
    <row r="19" spans="1:6">
      <c r="A19" s="435"/>
      <c r="B19" s="121"/>
      <c r="C19" s="104"/>
      <c r="D19" s="104"/>
      <c r="E19" s="436"/>
      <c r="F19" s="436"/>
    </row>
    <row r="20" spans="1:6">
      <c r="A20" s="435"/>
      <c r="B20" s="121"/>
      <c r="C20" s="104"/>
      <c r="D20" s="104"/>
      <c r="E20" s="436"/>
      <c r="F20" s="436"/>
    </row>
    <row r="21" spans="1:6">
      <c r="A21" s="435"/>
      <c r="B21" s="121"/>
      <c r="C21" s="104"/>
      <c r="D21" s="104"/>
      <c r="E21" s="436"/>
      <c r="F21" s="436"/>
    </row>
    <row r="22" spans="1:6">
      <c r="A22" s="435"/>
      <c r="B22" s="121"/>
      <c r="C22" s="104"/>
      <c r="D22" s="104"/>
      <c r="E22" s="436"/>
      <c r="F22" s="436"/>
    </row>
    <row r="23" spans="1:6">
      <c r="A23" s="435"/>
      <c r="B23" s="121"/>
      <c r="C23" s="104"/>
      <c r="D23" s="104"/>
      <c r="E23" s="436"/>
      <c r="F23" s="436"/>
    </row>
    <row r="24" spans="1:6">
      <c r="A24" s="435"/>
      <c r="B24" s="121"/>
      <c r="C24" s="104"/>
      <c r="D24" s="104"/>
      <c r="E24" s="436"/>
      <c r="F24" s="436"/>
    </row>
    <row r="25" spans="1:6">
      <c r="A25" s="435"/>
      <c r="B25" s="121"/>
      <c r="C25" s="104"/>
      <c r="D25" s="104"/>
      <c r="E25" s="436"/>
      <c r="F25" s="436"/>
    </row>
    <row r="26" spans="1:6">
      <c r="A26" s="435"/>
      <c r="B26" s="121"/>
      <c r="C26" s="104"/>
      <c r="D26" s="104"/>
      <c r="E26" s="436"/>
      <c r="F26" s="436"/>
    </row>
    <row r="27" spans="1:6">
      <c r="A27" s="435"/>
      <c r="B27" s="121"/>
      <c r="C27" s="104"/>
      <c r="D27" s="104"/>
      <c r="E27" s="436"/>
      <c r="F27" s="436"/>
    </row>
    <row r="28" spans="1:6">
      <c r="A28" s="435"/>
      <c r="B28" s="121"/>
      <c r="C28" s="104"/>
      <c r="D28" s="104"/>
      <c r="E28" s="436"/>
      <c r="F28" s="436"/>
    </row>
    <row r="29" spans="1:6">
      <c r="A29" s="435"/>
      <c r="B29" s="121"/>
      <c r="C29" s="104"/>
      <c r="D29" s="104"/>
      <c r="E29" s="436"/>
      <c r="F29" s="436"/>
    </row>
    <row r="30" spans="1:6">
      <c r="A30" s="435"/>
      <c r="B30" s="121"/>
      <c r="C30" s="104"/>
      <c r="D30" s="104"/>
      <c r="E30" s="436"/>
      <c r="F30" s="436"/>
    </row>
    <row r="31" spans="1:6">
      <c r="A31" s="435"/>
      <c r="B31" s="121"/>
      <c r="C31" s="104"/>
      <c r="D31" s="104"/>
      <c r="E31" s="436"/>
      <c r="F31" s="436"/>
    </row>
    <row r="32" spans="1:6">
      <c r="A32" s="435"/>
      <c r="B32" s="121"/>
      <c r="C32" s="104"/>
      <c r="D32" s="104"/>
      <c r="E32" s="436"/>
      <c r="F32" s="436"/>
    </row>
    <row r="33" spans="1:6">
      <c r="A33" s="435"/>
      <c r="B33" s="121"/>
      <c r="C33" s="104"/>
      <c r="D33" s="104"/>
      <c r="E33" s="436"/>
      <c r="F33" s="436"/>
    </row>
    <row r="34" spans="1:6">
      <c r="A34" s="435"/>
      <c r="B34" s="121"/>
      <c r="C34" s="104"/>
      <c r="D34" s="104"/>
      <c r="E34" s="436"/>
      <c r="F34" s="436"/>
    </row>
    <row r="35" spans="1:6">
      <c r="A35" s="435"/>
      <c r="B35" s="121"/>
      <c r="C35" s="104"/>
      <c r="D35" s="104"/>
      <c r="E35" s="436"/>
      <c r="F35" s="436"/>
    </row>
    <row r="36" spans="1:6">
      <c r="A36" s="435"/>
      <c r="B36" s="121"/>
      <c r="C36" s="104"/>
      <c r="D36" s="104"/>
      <c r="E36" s="436"/>
      <c r="F36" s="436"/>
    </row>
    <row r="37" spans="1:6">
      <c r="A37" s="435"/>
      <c r="B37" s="121"/>
      <c r="C37" s="104"/>
      <c r="D37" s="104"/>
      <c r="E37" s="436"/>
      <c r="F37" s="436"/>
    </row>
    <row r="38" spans="1:6">
      <c r="A38" s="435"/>
      <c r="B38" s="121"/>
      <c r="C38" s="104"/>
      <c r="D38" s="104"/>
      <c r="E38" s="436"/>
      <c r="F38" s="436"/>
    </row>
    <row r="39" spans="1:6">
      <c r="A39" s="435"/>
      <c r="B39" s="121"/>
      <c r="C39" s="104"/>
      <c r="D39" s="104"/>
      <c r="E39" s="436"/>
      <c r="F39" s="436"/>
    </row>
    <row r="40" spans="1:6">
      <c r="A40" s="435"/>
      <c r="B40" s="121"/>
      <c r="C40" s="104"/>
      <c r="D40" s="104"/>
      <c r="E40" s="436"/>
      <c r="F40" s="436"/>
    </row>
    <row r="41" spans="1:6">
      <c r="A41" s="435"/>
      <c r="B41" s="121"/>
      <c r="C41" s="104"/>
      <c r="D41" s="104"/>
      <c r="E41" s="436"/>
      <c r="F41" s="436"/>
    </row>
    <row r="42" spans="1:6">
      <c r="A42" s="435"/>
      <c r="B42" s="121"/>
      <c r="C42" s="104"/>
      <c r="D42" s="104"/>
      <c r="E42" s="436"/>
      <c r="F42" s="436"/>
    </row>
    <row r="43" spans="1:6">
      <c r="A43" s="435"/>
      <c r="B43" s="121"/>
      <c r="C43" s="104"/>
      <c r="D43" s="104"/>
      <c r="E43" s="436"/>
      <c r="F43" s="436"/>
    </row>
    <row r="44" spans="1:6">
      <c r="A44" s="435"/>
      <c r="B44" s="121"/>
      <c r="C44" s="104"/>
      <c r="D44" s="104"/>
      <c r="E44" s="436"/>
      <c r="F44" s="436"/>
    </row>
    <row r="45" spans="1:6">
      <c r="A45" s="435"/>
      <c r="B45" s="121"/>
      <c r="C45" s="104"/>
      <c r="D45" s="104"/>
      <c r="E45" s="436"/>
      <c r="F45" s="436"/>
    </row>
    <row r="46" spans="1:6">
      <c r="A46" s="435"/>
      <c r="B46" s="121"/>
      <c r="C46" s="104"/>
      <c r="D46" s="104"/>
      <c r="E46" s="436"/>
      <c r="F46" s="436"/>
    </row>
    <row r="47" spans="1:6">
      <c r="A47" s="435"/>
      <c r="B47" s="121"/>
      <c r="C47" s="104"/>
      <c r="D47" s="104"/>
      <c r="E47" s="436"/>
      <c r="F47" s="436"/>
    </row>
    <row r="48" spans="1:6">
      <c r="A48" s="435"/>
      <c r="B48" s="121"/>
      <c r="C48" s="104"/>
      <c r="D48" s="104"/>
      <c r="E48" s="436"/>
      <c r="F48" s="436"/>
    </row>
    <row r="49" spans="1:6">
      <c r="A49" s="435"/>
      <c r="B49" s="121"/>
      <c r="C49" s="104"/>
      <c r="D49" s="104"/>
      <c r="E49" s="436"/>
      <c r="F49" s="436"/>
    </row>
    <row r="50" spans="1:6">
      <c r="A50" s="435"/>
      <c r="B50" s="121"/>
      <c r="C50" s="104"/>
      <c r="D50" s="104"/>
      <c r="E50" s="436"/>
      <c r="F50" s="436"/>
    </row>
    <row r="51" spans="1:6">
      <c r="A51" s="435"/>
      <c r="B51" s="121"/>
      <c r="C51" s="104"/>
      <c r="D51" s="104"/>
      <c r="E51" s="436"/>
      <c r="F51" s="436"/>
    </row>
    <row r="52" spans="1:6">
      <c r="A52" s="435"/>
      <c r="B52" s="121"/>
      <c r="C52" s="104"/>
      <c r="D52" s="104"/>
      <c r="E52" s="436"/>
      <c r="F52" s="436"/>
    </row>
    <row r="53" spans="1:6">
      <c r="A53" s="435"/>
      <c r="B53" s="121"/>
      <c r="C53" s="104"/>
      <c r="D53" s="104"/>
      <c r="E53" s="436"/>
      <c r="F53" s="436"/>
    </row>
    <row r="54" spans="1:6">
      <c r="A54" s="435"/>
      <c r="B54" s="121"/>
      <c r="C54" s="104"/>
      <c r="D54" s="104"/>
      <c r="E54" s="436"/>
      <c r="F54" s="436"/>
    </row>
    <row r="55" spans="1:6">
      <c r="A55" s="435"/>
      <c r="B55" s="121"/>
      <c r="C55" s="104"/>
      <c r="D55" s="104"/>
      <c r="E55" s="436"/>
      <c r="F55" s="436"/>
    </row>
    <row r="56" spans="1:6">
      <c r="A56" s="435"/>
      <c r="B56" s="121"/>
      <c r="C56" s="104"/>
      <c r="D56" s="104"/>
      <c r="E56" s="436"/>
      <c r="F56" s="436"/>
    </row>
    <row r="57" spans="1:6">
      <c r="A57" s="435"/>
      <c r="B57" s="121"/>
      <c r="C57" s="104"/>
      <c r="D57" s="104"/>
      <c r="E57" s="436"/>
      <c r="F57" s="436"/>
    </row>
    <row r="58" spans="1:6">
      <c r="A58" s="435"/>
      <c r="B58" s="121"/>
      <c r="C58" s="104"/>
      <c r="D58" s="104"/>
      <c r="E58" s="436"/>
      <c r="F58" s="436"/>
    </row>
    <row r="59" spans="1:6">
      <c r="A59" s="435"/>
      <c r="B59" s="121"/>
      <c r="C59" s="104"/>
      <c r="D59" s="104"/>
      <c r="E59" s="436"/>
      <c r="F59" s="436"/>
    </row>
    <row r="60" spans="1:6">
      <c r="A60" s="435"/>
      <c r="B60" s="121"/>
      <c r="C60" s="104"/>
      <c r="D60" s="104"/>
      <c r="E60" s="436"/>
      <c r="F60" s="436"/>
    </row>
    <row r="61" spans="1:6">
      <c r="A61" s="435"/>
      <c r="B61" s="121"/>
      <c r="C61" s="104"/>
      <c r="D61" s="104"/>
      <c r="E61" s="436"/>
      <c r="F61" s="436"/>
    </row>
    <row r="62" spans="1:6">
      <c r="A62" s="435"/>
      <c r="B62" s="121"/>
      <c r="C62" s="104"/>
      <c r="D62" s="104"/>
      <c r="E62" s="436"/>
      <c r="F62" s="436"/>
    </row>
    <row r="63" spans="1:6">
      <c r="A63" s="435"/>
      <c r="B63" s="121"/>
      <c r="C63" s="104"/>
      <c r="D63" s="104"/>
      <c r="E63" s="436"/>
      <c r="F63" s="436"/>
    </row>
    <row r="65" spans="2:2" hidden="1">
      <c r="B65" s="191" t="s">
        <v>96</v>
      </c>
    </row>
    <row r="66" spans="2:2" hidden="1">
      <c r="B66" s="191" t="s">
        <v>252</v>
      </c>
    </row>
    <row r="67" spans="2:2" hidden="1">
      <c r="B67" s="191" t="s">
        <v>97</v>
      </c>
    </row>
    <row r="68" spans="2:2" hidden="1">
      <c r="B68" s="191" t="s">
        <v>185</v>
      </c>
    </row>
    <row r="69" spans="2:2" hidden="1">
      <c r="B69" s="191" t="s">
        <v>186</v>
      </c>
    </row>
    <row r="70" spans="2:2" hidden="1">
      <c r="B70" s="191" t="s">
        <v>187</v>
      </c>
    </row>
    <row r="71" spans="2:2" hidden="1">
      <c r="B71" s="191" t="s">
        <v>98</v>
      </c>
    </row>
    <row r="72" spans="2:2" hidden="1">
      <c r="B72" s="191" t="s">
        <v>99</v>
      </c>
    </row>
    <row r="73" spans="2:2" hidden="1">
      <c r="B73" s="191" t="s">
        <v>100</v>
      </c>
    </row>
    <row r="74" spans="2:2" hidden="1">
      <c r="B74" s="191" t="s">
        <v>101</v>
      </c>
    </row>
    <row r="75" spans="2:2" hidden="1">
      <c r="B75" s="191" t="s">
        <v>597</v>
      </c>
    </row>
    <row r="76" spans="2:2" hidden="1">
      <c r="B76" s="191" t="s">
        <v>598</v>
      </c>
    </row>
    <row r="77" spans="2:2" hidden="1">
      <c r="B77" s="191" t="s">
        <v>599</v>
      </c>
    </row>
    <row r="78" spans="2:2" hidden="1">
      <c r="B78" s="191" t="s">
        <v>752</v>
      </c>
    </row>
  </sheetData>
  <sheetProtection algorithmName="SHA-512" hashValue="71iWst5gblsEvJrhdNN6ng6jvbH4f4TLZrrAasEiQY1sb0wLeFoISyJp1bEFyJBhI6i2mPzSjtUq611LuYPZyA==" saltValue="CsASRKWHWCVZR2sZro0QFQ==" spinCount="100000" sheet="1"/>
  <customSheetViews>
    <customSheetView guid="{354F272F-821B-473B-9CC5-4001AD879606}" hiddenRows="1">
      <selection activeCell="L34" sqref="L33:L34"/>
      <pageMargins left="0.77" right="0.18" top="0.78" bottom="0.46" header="0.28999999999999998" footer="0.17"/>
      <pageSetup scale="85" orientation="portrait" cellComments="asDisplayed" r:id="rId1"/>
      <headerFooter alignWithMargins="0">
        <oddHeader>&amp;C&amp;"Times New Roman,Bold"&amp;9Attachment 9
Governmental Fund Financial Statement Template
&amp;A</oddHeader>
        <oddFooter>&amp;L&amp;"Times New Roman,Regular"&amp;9&amp;F \ &amp;A&amp;R&amp;"Times New Roman,Regular"&amp;9Page &amp;P</oddFooter>
      </headerFooter>
    </customSheetView>
  </customSheetViews>
  <mergeCells count="14">
    <mergeCell ref="A5:B5"/>
    <mergeCell ref="A6:B6"/>
    <mergeCell ref="A8:B8"/>
    <mergeCell ref="A1:B1"/>
    <mergeCell ref="A2:B2"/>
    <mergeCell ref="A3:B3"/>
    <mergeCell ref="A4:B4"/>
    <mergeCell ref="C1:F1"/>
    <mergeCell ref="C2:F2"/>
    <mergeCell ref="C8:F8"/>
    <mergeCell ref="C3:F3"/>
    <mergeCell ref="C4:F4"/>
    <mergeCell ref="C5:F5"/>
    <mergeCell ref="C6:F6"/>
  </mergeCells>
  <phoneticPr fontId="40" type="noConversion"/>
  <dataValidations count="2">
    <dataValidation type="whole" allowBlank="1" showInputMessage="1" showErrorMessage="1" error="Enter 3 digit agency number" sqref="C2" xr:uid="{00000000-0002-0000-1400-000000000000}">
      <formula1>100</formula1>
      <formula2>999</formula2>
    </dataValidation>
    <dataValidation type="list" allowBlank="1" showInputMessage="1" showErrorMessage="1" error="Use the drop-down list to enter a tab name." sqref="B12:B63" xr:uid="{00000000-0002-0000-1400-000001000000}">
      <formula1>$B$65:$B$78</formula1>
    </dataValidation>
  </dataValidations>
  <pageMargins left="0.77" right="0.18" top="0.78" bottom="0.46" header="0.28999999999999998" footer="0.17"/>
  <pageSetup scale="85" orientation="portrait" cellComments="asDisplayed" r:id="rId2"/>
  <headerFooter alignWithMargins="0">
    <oddHeader>&amp;C&amp;"Times New Roman,Bold"&amp;9Attachment 9
Governmental Fund Financial Statement Template
&amp;A</oddHeader>
    <oddFooter>&amp;L&amp;"Times New Roman,Regular"&amp;9&amp;F \ &amp;A&amp;R&amp;"Times New Roman,Regular"&amp;9Page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59DF925A43E34B9CC7B4C97DA69EF5" ma:contentTypeVersion="6" ma:contentTypeDescription="Create a new document." ma:contentTypeScope="" ma:versionID="59abdce20ff99ec84b8f9e949457246c">
  <xsd:schema xmlns:xsd="http://www.w3.org/2001/XMLSchema" xmlns:xs="http://www.w3.org/2001/XMLSchema" xmlns:p="http://schemas.microsoft.com/office/2006/metadata/properties" xmlns:ns3="d3dfb72b-a2ca-4577-b23c-5c9eb0f188e4" targetNamespace="http://schemas.microsoft.com/office/2006/metadata/properties" ma:root="true" ma:fieldsID="91eb4b13bf9b01c5d2e193533303e5fe" ns3:_="">
    <xsd:import namespace="d3dfb72b-a2ca-4577-b23c-5c9eb0f188e4"/>
    <xsd:element name="properties">
      <xsd:complexType>
        <xsd:sequence>
          <xsd:element name="documentManagement">
            <xsd:complexType>
              <xsd:all>
                <xsd:element ref="ns3:CloudMigratorOriginId" minOccurs="0"/>
                <xsd:element ref="ns3:FileHash" minOccurs="0"/>
                <xsd:element ref="ns3:CloudMigratorVersion" minOccurs="0"/>
                <xsd:element ref="ns3:UniqueSourceRef"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fb72b-a2ca-4577-b23c-5c9eb0f188e4" elementFormDefault="qualified">
    <xsd:import namespace="http://schemas.microsoft.com/office/2006/documentManagement/types"/>
    <xsd:import namespace="http://schemas.microsoft.com/office/infopath/2007/PartnerControls"/>
    <xsd:element name="CloudMigratorOriginId" ma:index="8" nillable="true" ma:displayName="CloudMigratorOriginId" ma:internalName="CloudMigratorOriginId">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CloudMigratorVersion" ma:index="10" nillable="true" ma:displayName="CloudMigratorVersion" ma:internalName="CloudMigratorVersion">
      <xsd:simpleType>
        <xsd:restriction base="dms:Note">
          <xsd:maxLength value="255"/>
        </xsd:restriction>
      </xsd:simpleType>
    </xsd:element>
    <xsd:element name="UniqueSourceRef" ma:index="11" nillable="true" ma:displayName="UniqueSourceRef" ma:internalName="UniqueSourceRef">
      <xsd:simpleType>
        <xsd:restriction base="dms:Note">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niqueSourceRef xmlns="d3dfb72b-a2ca-4577-b23c-5c9eb0f188e4" xsi:nil="true"/>
    <CloudMigratorVersion xmlns="d3dfb72b-a2ca-4577-b23c-5c9eb0f188e4" xsi:nil="true"/>
    <CloudMigratorOriginId xmlns="d3dfb72b-a2ca-4577-b23c-5c9eb0f188e4" xsi:nil="true"/>
    <FileHash xmlns="d3dfb72b-a2ca-4577-b23c-5c9eb0f188e4" xsi:nil="true"/>
  </documentManagement>
</p:properties>
</file>

<file path=customXml/itemProps1.xml><?xml version="1.0" encoding="utf-8"?>
<ds:datastoreItem xmlns:ds="http://schemas.openxmlformats.org/officeDocument/2006/customXml" ds:itemID="{B876045B-7C3E-498D-A0E1-5307D6D2DA4B}">
  <ds:schemaRefs>
    <ds:schemaRef ds:uri="http://schemas.microsoft.com/sharepoint/v3/contenttype/forms"/>
  </ds:schemaRefs>
</ds:datastoreItem>
</file>

<file path=customXml/itemProps2.xml><?xml version="1.0" encoding="utf-8"?>
<ds:datastoreItem xmlns:ds="http://schemas.openxmlformats.org/officeDocument/2006/customXml" ds:itemID="{564BEE85-2DBC-4A69-A9AA-3B9BA5CD1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fb72b-a2ca-4577-b23c-5c9eb0f188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7741BA-FC02-4C8D-88E4-1134578E6E87}">
  <ds:schemaRef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d3dfb72b-a2ca-4577-b23c-5c9eb0f188e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ALL AGENCY TABLE</vt:lpstr>
      <vt:lpstr>Fund Vlookup</vt:lpstr>
      <vt:lpstr>Ending FB - FY 2023</vt:lpstr>
      <vt:lpstr>Hlookup</vt:lpstr>
      <vt:lpstr>Fund Financial Stmt Template</vt:lpstr>
      <vt:lpstr>Fund Balance Reconciliation</vt:lpstr>
      <vt:lpstr>Govwide Fin. Stmt Template</vt:lpstr>
      <vt:lpstr>Tab 1A-GASB 3-40</vt:lpstr>
      <vt:lpstr>Tab 1B-CE &amp; Inv Not W Treas </vt:lpstr>
      <vt:lpstr>Tab 1C-Foreign Currency Inv</vt:lpstr>
      <vt:lpstr>Tab 1D-GASB 31</vt:lpstr>
      <vt:lpstr>Tab 2-Receivables</vt:lpstr>
      <vt:lpstr>Tab 3 - Due to &amp; From</vt:lpstr>
      <vt:lpstr>Tab 4-Miscellaneous</vt:lpstr>
      <vt:lpstr>Tab 5-Transfers In &amp; Out</vt:lpstr>
      <vt:lpstr>Tab 6-Restatements</vt:lpstr>
      <vt:lpstr>Tab 7-Fluctuation Analysis</vt:lpstr>
      <vt:lpstr>Tab 8-LT Liabilities</vt:lpstr>
      <vt:lpstr>Tab 9-Capital Assets</vt:lpstr>
      <vt:lpstr>Certification</vt:lpstr>
      <vt:lpstr>Revision Control Log</vt:lpstr>
      <vt:lpstr>Certification!Print_Area</vt:lpstr>
      <vt:lpstr>'Ending FB - FY 2023'!Print_Area</vt:lpstr>
      <vt:lpstr>'Fund Financial Stmt Template'!Print_Area</vt:lpstr>
      <vt:lpstr>'Govwide Fin. Stmt Template'!Print_Area</vt:lpstr>
      <vt:lpstr>'Revision Control Log'!Print_Area</vt:lpstr>
      <vt:lpstr>'Tab 1A-GASB 3-40'!Print_Area</vt:lpstr>
      <vt:lpstr>'Tab 1B-CE &amp; Inv Not W Treas '!Print_Area</vt:lpstr>
      <vt:lpstr>'Tab 1C-Foreign Currency Inv'!Print_Area</vt:lpstr>
      <vt:lpstr>'Tab 1D-GASB 31'!Print_Area</vt:lpstr>
      <vt:lpstr>'Tab 3 - Due to &amp; From'!Print_Area</vt:lpstr>
      <vt:lpstr>'Tab 4-Miscellaneous'!Print_Area</vt:lpstr>
      <vt:lpstr>'Tab 5-Transfers In &amp; Out'!Print_Area</vt:lpstr>
      <vt:lpstr>'Tab 6-Restatements'!Print_Area</vt:lpstr>
      <vt:lpstr>'Tab 7-Fluctuation Analysis'!Print_Area</vt:lpstr>
      <vt:lpstr>'Tab 8-LT Liabilities'!Print_Area</vt:lpstr>
      <vt:lpstr>'ALL AGENCY TABLE'!Print_Titles</vt:lpstr>
      <vt:lpstr>Hlookup!Print_Titles</vt:lpstr>
      <vt:lpstr>'Revision Control Log'!Print_Titles</vt:lpstr>
      <vt:lpstr>'Tab 1B-CE &amp; Inv Not W Treas '!Print_Titles</vt:lpstr>
      <vt:lpstr>'Tab 3 - Due to &amp; From'!Print_Titles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9 - Governmental Fund</dc:title>
  <dc:subject>Attachment 9 - Governmental Fund</dc:subject>
  <dc:creator>Virginia Department of Accounts</dc:creator>
  <cp:lastPrinted>2024-03-29T18:57:03Z</cp:lastPrinted>
  <dcterms:created xsi:type="dcterms:W3CDTF">2003-02-19T20:11:55Z</dcterms:created>
  <dcterms:modified xsi:type="dcterms:W3CDTF">2024-04-10T14:15:53Z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0x0101002B59DF925A43E34B9CC7B4C97DA69EF5</vt:lpwstr>
  </property>
</Properties>
</file>